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drawings/drawing2.xml" ContentType="application/vnd.openxmlformats-officedocument.drawing+xml"/>
  <Override PartName="/xl/tables/table10.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tables/table11.xml" ContentType="application/vnd.openxmlformats-officedocument.spreadsheetml.table+xml"/>
  <Override PartName="/xl/drawings/drawing4.xml" ContentType="application/vnd.openxmlformats-officedocument.drawing+xml"/>
  <Override PartName="/xl/tables/table1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13.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14.xml" ContentType="application/vnd.openxmlformats-officedocument.spreadsheetml.table+xml"/>
  <Override PartName="/xl/drawings/drawing7.xml" ContentType="application/vnd.openxmlformats-officedocument.drawing+xml"/>
  <Override PartName="/xl/tables/table15.xml" ContentType="application/vnd.openxmlformats-officedocument.spreadsheetml.table+xml"/>
  <Override PartName="/xl/drawings/drawing8.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8_{C0A673A1-1FA6-4F9D-AE90-CA7FF475F0A8}"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AG67" i="8" l="1"/>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I15" i="4"/>
  <c r="I16" i="4"/>
  <c r="I17" i="4"/>
  <c r="I18" i="4"/>
  <c r="I19" i="4"/>
  <c r="I20" i="4"/>
  <c r="I21" i="4"/>
  <c r="I22" i="4"/>
  <c r="I23" i="4"/>
  <c r="I24" i="4"/>
  <c r="I25" i="4"/>
  <c r="I26" i="4"/>
  <c r="I27" i="4"/>
  <c r="I28" i="4"/>
  <c r="I29" i="4"/>
  <c r="I30" i="4"/>
  <c r="I31" i="4"/>
  <c r="I32" i="4"/>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39" i="5"/>
  <c r="AT40" i="5"/>
  <c r="AT41" i="5"/>
  <c r="AT43" i="5"/>
  <c r="AT44" i="5"/>
  <c r="AT45" i="5"/>
  <c r="AT46" i="5"/>
  <c r="AT48" i="5"/>
  <c r="AT50"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BL13" i="5" a="1"/>
  <c r="BL13" i="5" s="1"/>
  <c r="AF9" i="9"/>
  <c r="J4" i="2"/>
  <c r="AE9" i="9"/>
  <c r="AI9" i="9"/>
  <c r="AC9" i="9"/>
  <c r="AC4" i="1"/>
  <c r="AB4" i="1"/>
  <c r="O7" i="1" l="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O9" i="1" l="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O10" i="1" l="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O11" i="1" l="1"/>
  <c r="BP6" i="5"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O12" i="1" l="1"/>
  <c r="BL19" i="5"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O13" i="1" l="1"/>
  <c r="BL20" i="5"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AG5" i="7" l="1"/>
  <c r="AF5" i="7"/>
  <c r="AG4" i="7"/>
  <c r="AI4" i="7" s="1"/>
  <c r="Z4" i="8" s="1"/>
  <c r="B4" i="8" s="1"/>
  <c r="D4" i="2" s="1"/>
  <c r="O14" i="1"/>
  <c r="BL21" i="5" a="1"/>
  <c r="BL21" i="5" s="1"/>
  <c r="BZ4" i="8"/>
  <c r="CQ4" i="8" s="1"/>
  <c r="CR4" i="8" s="1"/>
  <c r="BK5" i="8"/>
  <c r="BL5" i="8"/>
  <c r="AP5" i="5"/>
  <c r="BI5" i="8"/>
  <c r="BJ5" i="8"/>
  <c r="BG5" i="8"/>
  <c r="BH5" i="8"/>
  <c r="BF5" i="8"/>
  <c r="AC5" i="10"/>
  <c r="X5" i="10" s="1"/>
  <c r="AO5" i="5"/>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O15" i="1" l="1"/>
  <c r="BL22" i="5"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AG6" i="7" l="1"/>
  <c r="AF6" i="7"/>
  <c r="O16" i="1"/>
  <c r="BL23" i="5"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AG7" i="7" l="1"/>
  <c r="AF7" i="7"/>
  <c r="O17" i="1"/>
  <c r="BL24" i="5"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AG8" i="7" l="1"/>
  <c r="AF8" i="7"/>
  <c r="O18" i="1"/>
  <c r="BL25" i="5"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AG9" i="7" l="1"/>
  <c r="AF9" i="7"/>
  <c r="O19" i="1"/>
  <c r="BL26" i="5"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CC10" i="8"/>
  <c r="CS10" i="8" s="1"/>
  <c r="BT10" i="8"/>
  <c r="CJ10" i="8" s="1"/>
  <c r="CN10" i="8" s="1"/>
  <c r="BV10" i="8"/>
  <c r="B11" i="9"/>
  <c r="W11" i="9" s="1"/>
  <c r="AB11" i="8"/>
  <c r="BM11" i="8" s="1"/>
  <c r="B11" i="7"/>
  <c r="AE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AG10" i="7" l="1"/>
  <c r="AI10" i="7" s="1"/>
  <c r="AF10" i="7"/>
  <c r="AG11" i="7"/>
  <c r="AI11" i="7" s="1"/>
  <c r="AF11" i="7"/>
  <c r="O20" i="1"/>
  <c r="BL27" i="5"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O21" i="1" l="1"/>
  <c r="BL28" i="5"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AG12" i="7" l="1"/>
  <c r="AI12" i="7" s="1"/>
  <c r="AF12" i="7"/>
  <c r="O22" i="1"/>
  <c r="BL29" i="5"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AG13" i="7" l="1"/>
  <c r="AI13" i="7" s="1"/>
  <c r="AF13" i="7"/>
  <c r="O23" i="1"/>
  <c r="BL30" i="5"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AG14" i="7" l="1"/>
  <c r="AF14" i="7"/>
  <c r="O24" i="1"/>
  <c r="BL31" i="5"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AG15" i="7" l="1"/>
  <c r="AI15" i="7" s="1"/>
  <c r="AF15" i="7"/>
  <c r="O25" i="1"/>
  <c r="BL32" i="5"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Q16" i="7"/>
  <c r="V19" i="2"/>
  <c r="AC18" i="1"/>
  <c r="DA18" i="5"/>
  <c r="DG18" i="5" s="1" a="1"/>
  <c r="DG18" i="5" s="1"/>
  <c r="DI19" i="5"/>
  <c r="AB19" i="1"/>
  <c r="AE28" i="9"/>
  <c r="AI28" i="9"/>
  <c r="AC90" i="9"/>
  <c r="B12" i="14"/>
  <c r="S21" i="2"/>
  <c r="P22" i="2"/>
  <c r="N22" i="2"/>
  <c r="R22" i="2"/>
  <c r="Q21" i="2"/>
  <c r="P23" i="2"/>
  <c r="J23" i="10"/>
  <c r="M22" i="2"/>
  <c r="O23" i="2"/>
  <c r="AG16" i="7" l="1"/>
  <c r="AF16" i="7"/>
  <c r="O26" i="1"/>
  <c r="BL33" i="5"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AG17" i="7" l="1"/>
  <c r="AF17" i="7"/>
  <c r="O27" i="1"/>
  <c r="BL34" i="5"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AG18" i="7" l="1"/>
  <c r="AI18" i="7" s="1"/>
  <c r="AF18" i="7"/>
  <c r="O28" i="1"/>
  <c r="BL35" i="5"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AG19" i="7" l="1"/>
  <c r="AF19" i="7"/>
  <c r="O29" i="1"/>
  <c r="BL36" i="5"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AG21" i="7" l="1"/>
  <c r="AI21" i="7" s="1"/>
  <c r="AF21" i="7"/>
  <c r="AG20" i="7"/>
  <c r="AI20" i="7" s="1"/>
  <c r="AF20" i="7"/>
  <c r="O30" i="1"/>
  <c r="BL37" i="5"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O31" i="1" l="1"/>
  <c r="BL38" i="5"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Q22" i="7"/>
  <c r="C25" i="5"/>
  <c r="AC24" i="1"/>
  <c r="DA24" i="5"/>
  <c r="DG24" i="5" s="1" a="1"/>
  <c r="DG24" i="5" s="1"/>
  <c r="AB25" i="1"/>
  <c r="DI25" i="5"/>
  <c r="AE34" i="9"/>
  <c r="AI34" i="9"/>
  <c r="AC96" i="9"/>
  <c r="B20" i="14"/>
  <c r="N10" i="1"/>
  <c r="S27" i="2"/>
  <c r="N28" i="2"/>
  <c r="R28" i="2"/>
  <c r="Q27" i="2"/>
  <c r="P29" i="2"/>
  <c r="J29" i="10"/>
  <c r="O29" i="2"/>
  <c r="M28" i="2"/>
  <c r="AT27" i="5" l="1"/>
  <c r="AG22" i="7"/>
  <c r="AI22" i="7" s="1"/>
  <c r="AF22" i="7"/>
  <c r="AG23" i="7"/>
  <c r="AI23" i="7" s="1"/>
  <c r="AF23" i="7"/>
  <c r="O32" i="1"/>
  <c r="BL39" i="5"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AT28" i="5" l="1"/>
  <c r="O33" i="1"/>
  <c r="BL40" i="5"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AG24" i="7" l="1"/>
  <c r="AF24" i="7"/>
  <c r="O34" i="1"/>
  <c r="BL41" i="5"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AG25" i="7" l="1"/>
  <c r="AI25" i="7" s="1"/>
  <c r="AF25" i="7"/>
  <c r="O35" i="1"/>
  <c r="BL42" i="5"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E28" i="1"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C29" i="5"/>
  <c r="AC28" i="1"/>
  <c r="DA28" i="5"/>
  <c r="DG28" i="5" s="1" a="1"/>
  <c r="DG28" i="5" s="1"/>
  <c r="DI29" i="5"/>
  <c r="AB29" i="1"/>
  <c r="AE38" i="9"/>
  <c r="AI38" i="9"/>
  <c r="AC100" i="9"/>
  <c r="B24" i="14"/>
  <c r="N14" i="1"/>
  <c r="S31" i="2"/>
  <c r="N32" i="2"/>
  <c r="R32" i="2"/>
  <c r="Q31" i="2"/>
  <c r="O33" i="2"/>
  <c r="J33" i="10"/>
  <c r="P33" i="2"/>
  <c r="M32" i="2"/>
  <c r="AG26" i="7" l="1"/>
  <c r="AF26" i="7"/>
  <c r="O36" i="1"/>
  <c r="BL43" i="5"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W28" i="8"/>
  <c r="AI28" i="5"/>
  <c r="B28" i="9"/>
  <c r="W28" i="9" s="1"/>
  <c r="A28" i="11"/>
  <c r="V29" i="2"/>
  <c r="AE27" i="7"/>
  <c r="Q27" i="7"/>
  <c r="C30" i="5"/>
  <c r="AC29" i="1"/>
  <c r="DA29" i="5"/>
  <c r="DG29" i="5" s="1" a="1"/>
  <c r="DG29" i="5" s="1"/>
  <c r="AB30" i="1"/>
  <c r="DI30" i="5"/>
  <c r="AE39" i="9"/>
  <c r="AI39" i="9"/>
  <c r="AC101" i="9"/>
  <c r="N15" i="1"/>
  <c r="S32" i="2"/>
  <c r="N33" i="2"/>
  <c r="R33" i="2"/>
  <c r="Q32" i="2"/>
  <c r="J34" i="10"/>
  <c r="P34" i="2"/>
  <c r="O34" i="2"/>
  <c r="M33" i="2"/>
  <c r="AG27" i="7" l="1"/>
  <c r="AF27" i="7"/>
  <c r="O37" i="1"/>
  <c r="BL44" i="5"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Q28" i="7"/>
  <c r="AB31" i="1"/>
  <c r="DI31" i="5"/>
  <c r="C31" i="5"/>
  <c r="AC30" i="1"/>
  <c r="DA30" i="5"/>
  <c r="DG30" i="5" s="1" a="1"/>
  <c r="DG30" i="5" s="1"/>
  <c r="AE40" i="9"/>
  <c r="AI40" i="9"/>
  <c r="AC102" i="9"/>
  <c r="N16" i="1"/>
  <c r="S33" i="2"/>
  <c r="N34" i="2"/>
  <c r="R34" i="2"/>
  <c r="Q33" i="2"/>
  <c r="M34" i="2"/>
  <c r="J35" i="10"/>
  <c r="O35" i="2"/>
  <c r="P35" i="2"/>
  <c r="AG28" i="7" l="1"/>
  <c r="AF28" i="7"/>
  <c r="AG29" i="7"/>
  <c r="AI29" i="7" s="1"/>
  <c r="AF29" i="7"/>
  <c r="O38" i="1"/>
  <c r="BL45" i="5"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O39" i="1" l="1"/>
  <c r="BL46" i="5"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AG30" i="7" l="1"/>
  <c r="AI30" i="7" s="1"/>
  <c r="AF30" i="7"/>
  <c r="AG31" i="7"/>
  <c r="AI31" i="7" s="1"/>
  <c r="AF31" i="7"/>
  <c r="O40" i="1"/>
  <c r="BL47" i="5"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AG32" i="7" l="1"/>
  <c r="AI32" i="7" s="1"/>
  <c r="AF32" i="7"/>
  <c r="O41" i="1"/>
  <c r="BL48" i="5"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O42" i="1" l="1"/>
  <c r="BL49" i="5"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AG33" i="7" l="1"/>
  <c r="AF33" i="7"/>
  <c r="O43" i="1"/>
  <c r="BL50" i="5"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Q34" i="7"/>
  <c r="AB37" i="1"/>
  <c r="DI37" i="5"/>
  <c r="C37" i="5"/>
  <c r="AC36" i="1"/>
  <c r="DA36" i="5"/>
  <c r="DG36" i="5" s="1" a="1"/>
  <c r="DG36" i="5" s="1"/>
  <c r="AE46" i="9"/>
  <c r="AI46" i="9"/>
  <c r="AC108" i="9"/>
  <c r="N22" i="1"/>
  <c r="S39" i="2"/>
  <c r="N40" i="2"/>
  <c r="R40" i="2"/>
  <c r="Q39" i="2"/>
  <c r="O41" i="2"/>
  <c r="P41" i="2"/>
  <c r="J41" i="10"/>
  <c r="M40" i="2"/>
  <c r="AG35" i="7" l="1"/>
  <c r="AI35" i="7" s="1"/>
  <c r="AF35" i="7"/>
  <c r="AG34" i="7"/>
  <c r="AI34" i="7" s="1"/>
  <c r="AF34" i="7"/>
  <c r="O44" i="1"/>
  <c r="BL51" i="5"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O45" i="1" l="1"/>
  <c r="BL52" i="5"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Q36" i="7"/>
  <c r="AB39" i="1"/>
  <c r="DI39" i="5"/>
  <c r="C39" i="5"/>
  <c r="AC38" i="1"/>
  <c r="DA38" i="5"/>
  <c r="DG38" i="5" s="1" a="1"/>
  <c r="DG38" i="5" s="1"/>
  <c r="AE48" i="9"/>
  <c r="AI48" i="9"/>
  <c r="AC110" i="9"/>
  <c r="N24" i="1"/>
  <c r="S41" i="2"/>
  <c r="N42" i="2"/>
  <c r="R42" i="2"/>
  <c r="Q41" i="2"/>
  <c r="O43" i="2"/>
  <c r="J43" i="10"/>
  <c r="P43" i="2"/>
  <c r="M42" i="2"/>
  <c r="AG36" i="7" l="1"/>
  <c r="AF36" i="7"/>
  <c r="AG37" i="7"/>
  <c r="AI37" i="7" s="1"/>
  <c r="AF37" i="7"/>
  <c r="O46" i="1"/>
  <c r="BL53" i="5"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AT42" i="5" l="1"/>
  <c r="O47" i="1"/>
  <c r="BL54" i="5"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Q38" i="7"/>
  <c r="J40" i="2"/>
  <c r="V40" i="2"/>
  <c r="CZ41" i="5"/>
  <c r="AB41" i="1"/>
  <c r="DI41" i="5"/>
  <c r="V41" i="2"/>
  <c r="AC40" i="1"/>
  <c r="DA40" i="5"/>
  <c r="DG40" i="5" s="1" a="1"/>
  <c r="DG40" i="5" s="1"/>
  <c r="AE50" i="9"/>
  <c r="AI50" i="9"/>
  <c r="AC112" i="9"/>
  <c r="N26" i="1"/>
  <c r="S43" i="2"/>
  <c r="N44" i="2"/>
  <c r="R44" i="2"/>
  <c r="Q43" i="2"/>
  <c r="O45" i="2"/>
  <c r="J45" i="10"/>
  <c r="P45" i="2"/>
  <c r="M44" i="2"/>
  <c r="AG38" i="7" l="1"/>
  <c r="AF38" i="7"/>
  <c r="O48" i="1"/>
  <c r="BL55" i="5"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DG41" i="5" s="1" a="1"/>
  <c r="DG41" i="5" s="1"/>
  <c r="AB42" i="1"/>
  <c r="DI42" i="5"/>
  <c r="AE51" i="9"/>
  <c r="AI51" i="9"/>
  <c r="AC113" i="9"/>
  <c r="N27" i="1"/>
  <c r="S44" i="2"/>
  <c r="N45" i="2"/>
  <c r="R45" i="2"/>
  <c r="Q44" i="2"/>
  <c r="P46" i="2"/>
  <c r="O46" i="2"/>
  <c r="J46" i="10"/>
  <c r="M45" i="2"/>
  <c r="AG39" i="7" l="1"/>
  <c r="AI39" i="7" s="1"/>
  <c r="AF39" i="7"/>
  <c r="O49" i="1"/>
  <c r="BL56" i="5"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AG40" i="7" l="1"/>
  <c r="AI40" i="7" s="1"/>
  <c r="AF40" i="7"/>
  <c r="O50" i="1"/>
  <c r="BL57" i="5"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AG41" i="7" l="1"/>
  <c r="AF41" i="7"/>
  <c r="O51" i="1"/>
  <c r="BL58" i="5"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AT47" i="5" s="1"/>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AG42" i="7" l="1"/>
  <c r="AF42" i="7"/>
  <c r="O52" i="1"/>
  <c r="BL59" i="5"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AG43" i="7" l="1"/>
  <c r="AF43" i="7"/>
  <c r="O53" i="1"/>
  <c r="BL60" i="5"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AG44" i="7" l="1"/>
  <c r="AF44" i="7"/>
  <c r="O54" i="1"/>
  <c r="BL61" i="5"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Q45" i="7"/>
  <c r="AB48" i="1"/>
  <c r="DI48" i="5"/>
  <c r="J48" i="2"/>
  <c r="AC47" i="1"/>
  <c r="DA47" i="5"/>
  <c r="DG47" i="5" s="1" a="1"/>
  <c r="DG47" i="5" s="1"/>
  <c r="AE57" i="9"/>
  <c r="AI57" i="9"/>
  <c r="AC119" i="9"/>
  <c r="N33" i="1"/>
  <c r="S50" i="2"/>
  <c r="N51" i="2"/>
  <c r="R51" i="2"/>
  <c r="Q50" i="2"/>
  <c r="M51" i="2"/>
  <c r="O52" i="2"/>
  <c r="P52" i="2"/>
  <c r="J52" i="10"/>
  <c r="AG45" i="7" l="1"/>
  <c r="AF45" i="7"/>
  <c r="O55" i="1"/>
  <c r="BL62" i="5"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AT51" i="5" l="1"/>
  <c r="AG46" i="7"/>
  <c r="AF46" i="7"/>
  <c r="O56" i="1"/>
  <c r="BL63" i="5"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AG47" i="7" l="1"/>
  <c r="AF47" i="7"/>
  <c r="O57" i="1"/>
  <c r="BL64" i="5"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AG48" i="7" l="1"/>
  <c r="AF48" i="7"/>
  <c r="O58" i="1"/>
  <c r="BL65" i="5"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AG50" i="7" l="1"/>
  <c r="AF50" i="7"/>
  <c r="AG49" i="7"/>
  <c r="AF49" i="7"/>
  <c r="O59" i="1"/>
  <c r="BL66" i="5"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O60" i="1" l="1"/>
  <c r="BL67" i="5"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AG51" i="7" l="1"/>
  <c r="AF51" i="7"/>
  <c r="O61" i="1"/>
  <c r="BL68" i="5"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Q52" i="7"/>
  <c r="V54" i="2"/>
  <c r="C55" i="5"/>
  <c r="AC54" i="1"/>
  <c r="DA54" i="5"/>
  <c r="DG54" i="5" s="1" a="1"/>
  <c r="DG54" i="5" s="1"/>
  <c r="AB55" i="1"/>
  <c r="DI55" i="5"/>
  <c r="AE64" i="9"/>
  <c r="AI64" i="9"/>
  <c r="AC126" i="9"/>
  <c r="N40" i="1"/>
  <c r="S57" i="2"/>
  <c r="N58" i="2"/>
  <c r="R58" i="2"/>
  <c r="Q57" i="2"/>
  <c r="J59" i="10"/>
  <c r="P59" i="2"/>
  <c r="O59" i="2"/>
  <c r="M58" i="2"/>
  <c r="AG52" i="7" l="1"/>
  <c r="AF52" i="7"/>
  <c r="O62" i="1"/>
  <c r="BL69" i="5"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AG53" i="7" l="1"/>
  <c r="AF53" i="7"/>
  <c r="O63" i="1"/>
  <c r="BL70" i="5"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Q54" i="7"/>
  <c r="J57" i="2"/>
  <c r="AC56" i="1"/>
  <c r="DA56" i="5"/>
  <c r="DG56" i="5" s="1" a="1"/>
  <c r="DG56" i="5" s="1"/>
  <c r="AB57" i="1"/>
  <c r="DI57" i="5"/>
  <c r="AE66" i="9"/>
  <c r="AI66" i="9"/>
  <c r="AC128" i="9"/>
  <c r="N42" i="1"/>
  <c r="S59" i="2"/>
  <c r="N60" i="2"/>
  <c r="R60" i="2"/>
  <c r="Q59" i="2"/>
  <c r="O61" i="2"/>
  <c r="J61" i="10"/>
  <c r="P61" i="2"/>
  <c r="M60" i="2"/>
  <c r="AG54" i="7" l="1"/>
  <c r="AF54" i="7"/>
  <c r="O64" i="1"/>
  <c r="BL71" i="5"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G55" i="7" l="1"/>
  <c r="AF55" i="7"/>
  <c r="O65" i="1"/>
  <c r="AP56" i="5"/>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AG56" i="7" l="1"/>
  <c r="AF56" i="7"/>
  <c r="O66" i="1"/>
  <c r="BL73" i="5"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B60" i="1"/>
  <c r="DI60" i="5"/>
  <c r="V60" i="2"/>
  <c r="AC59" i="1"/>
  <c r="DA59" i="5"/>
  <c r="DG59" i="5" s="1" a="1"/>
  <c r="DG59" i="5" s="1"/>
  <c r="AE69" i="9"/>
  <c r="AI69" i="9"/>
  <c r="AC131" i="9"/>
  <c r="N45" i="1"/>
  <c r="S62" i="2"/>
  <c r="N63" i="2"/>
  <c r="R63" i="2"/>
  <c r="Q62" i="2"/>
  <c r="O64" i="2"/>
  <c r="J64" i="10"/>
  <c r="P64" i="2"/>
  <c r="M63" i="2"/>
  <c r="AG57" i="7" l="1"/>
  <c r="AF57" i="7"/>
  <c r="O67" i="1"/>
  <c r="BL74" i="5"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AG58" i="7" l="1"/>
  <c r="AF58" i="7"/>
  <c r="O68" i="1"/>
  <c r="BL75" i="5"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AG59" i="7" l="1"/>
  <c r="AF59" i="7"/>
  <c r="O69" i="1"/>
  <c r="BL76" i="5"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AG60" i="7" l="1"/>
  <c r="AI60" i="7" s="1"/>
  <c r="AF60" i="7"/>
  <c r="O70" i="1"/>
  <c r="BL77" i="5"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AG61" i="7" l="1"/>
  <c r="AF61" i="7"/>
  <c r="O71" i="1"/>
  <c r="BL78" i="5"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Q62" i="7"/>
  <c r="C65" i="5"/>
  <c r="AC64" i="1"/>
  <c r="DA64" i="5"/>
  <c r="DG64" i="5" s="1" a="1"/>
  <c r="DG64" i="5" s="1"/>
  <c r="AB65" i="1"/>
  <c r="DI65" i="5"/>
  <c r="AE74" i="9"/>
  <c r="AI74" i="9"/>
  <c r="AC136" i="9"/>
  <c r="N50" i="1"/>
  <c r="S67" i="2"/>
  <c r="N68" i="2"/>
  <c r="R68" i="2"/>
  <c r="Q67" i="2"/>
  <c r="J69" i="10"/>
  <c r="M68" i="2"/>
  <c r="O69" i="2"/>
  <c r="P69" i="2"/>
  <c r="AG62" i="7" l="1"/>
  <c r="AF62" i="7"/>
  <c r="O72" i="1"/>
  <c r="O61" i="8"/>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AG63" i="7" l="1"/>
  <c r="AF63" i="7"/>
  <c r="O73" i="1"/>
  <c r="BL80" i="5"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AG64" i="7" l="1"/>
  <c r="AF64" i="7"/>
  <c r="O74" i="1"/>
  <c r="BL81" i="5"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AG65" i="7" l="1"/>
  <c r="AI65" i="7" s="1"/>
  <c r="AF65" i="7"/>
  <c r="AG66" i="7"/>
  <c r="AI66" i="7" s="1"/>
  <c r="AF66" i="7"/>
  <c r="O75" i="1"/>
  <c r="BL82" i="5"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O76" i="1" l="1"/>
  <c r="BL83" i="5"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AG67" i="7" l="1"/>
  <c r="AF67" i="7"/>
  <c r="O77" i="1"/>
  <c r="BL84" i="5"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AG68" i="7" l="1"/>
  <c r="AI68" i="7" s="1"/>
  <c r="AF68" i="7"/>
  <c r="O78" i="1"/>
  <c r="BL85" i="5"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AG69" i="7" l="1"/>
  <c r="AI69" i="7" s="1"/>
  <c r="AF69" i="7"/>
  <c r="AG70" i="7"/>
  <c r="AI70" i="7" s="1"/>
  <c r="AF70" i="7"/>
  <c r="O79" i="1"/>
  <c r="BL86" i="5"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80" i="1" l="1"/>
  <c r="BL87" i="5" a="1"/>
  <c r="BL87" i="5" s="1"/>
  <c r="BS71" i="8"/>
  <c r="BY71" i="8" s="1"/>
  <c r="BO71" i="8"/>
  <c r="BK71" i="8"/>
  <c r="BL71" i="8"/>
  <c r="BI71" i="8"/>
  <c r="BJ71" i="8"/>
  <c r="BG71" i="8"/>
  <c r="BH71" i="8"/>
  <c r="BF71" i="8"/>
  <c r="AP71" i="5"/>
  <c r="AC71" i="10"/>
  <c r="X71" i="10" s="1"/>
  <c r="AO71" i="5"/>
  <c r="AM71" i="5"/>
  <c r="AN71" i="5"/>
  <c r="CK70" i="8"/>
  <c r="CL70" i="8" s="1"/>
  <c r="CU70" i="8"/>
  <c r="AM75" i="1"/>
  <c r="AS75" i="5"/>
  <c r="E79" i="8"/>
  <c r="E54" i="4"/>
  <c r="B42" i="4" s="1"/>
  <c r="AH75" i="11"/>
  <c r="E56" i="4"/>
  <c r="DF74" i="5"/>
  <c r="E59" i="4"/>
  <c r="E51" i="4"/>
  <c r="E60" i="4"/>
  <c r="E65"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AG72" i="7" l="1"/>
  <c r="AI72" i="7" s="1"/>
  <c r="AF72" i="7"/>
  <c r="AG71" i="7"/>
  <c r="AF71" i="7"/>
  <c r="O81" i="1"/>
  <c r="BL88" i="5"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AG73" i="7" l="1"/>
  <c r="AI73" i="7" s="1"/>
  <c r="AF73" i="7"/>
  <c r="O82" i="1"/>
  <c r="BZ72" i="8"/>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50" i="4"/>
  <c r="AH43" i="5"/>
  <c r="BU43" i="5"/>
  <c r="AE85" i="9"/>
  <c r="AI85" i="9"/>
  <c r="B43" i="2"/>
  <c r="B43" i="1"/>
  <c r="BG43" i="1" s="1"/>
  <c r="B53" i="14"/>
  <c r="N61" i="1"/>
  <c r="S78" i="2"/>
  <c r="N79" i="2"/>
  <c r="R79" i="2"/>
  <c r="Q78" i="2"/>
  <c r="M79" i="2"/>
  <c r="J80" i="10"/>
  <c r="P80" i="2"/>
  <c r="O80" i="2"/>
  <c r="O83" i="1" l="1"/>
  <c r="CY72" i="8"/>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J76" i="2"/>
  <c r="C76" i="5"/>
  <c r="F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AG74" i="7" l="1"/>
  <c r="AF74" i="7"/>
  <c r="AG75" i="7"/>
  <c r="AI75" i="7" s="1"/>
  <c r="AF75" i="7"/>
  <c r="O84" i="1"/>
  <c r="BL91" i="5"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7" i="4" s="1"/>
  <c r="F67" i="4" s="1"/>
  <c r="D78"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85" i="1" l="1"/>
  <c r="BL92" i="5"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AG76" i="7" l="1"/>
  <c r="AF76" i="7"/>
  <c r="O86" i="1"/>
  <c r="B25" i="4"/>
  <c r="C39" i="4" s="1"/>
  <c r="BL93" i="5" a="1"/>
  <c r="BL93" i="5" s="1"/>
  <c r="F36"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AG78" i="7" l="1"/>
  <c r="AI78" i="7" s="1"/>
  <c r="AF78" i="7"/>
  <c r="AG77" i="7"/>
  <c r="AI77" i="7" s="1"/>
  <c r="AF77" i="7"/>
  <c r="O87" i="1"/>
  <c r="BL94" i="5" a="1"/>
  <c r="BL94" i="5" s="1"/>
  <c r="F39" i="4"/>
  <c r="H39" i="4" s="1"/>
  <c r="R4" i="8"/>
  <c r="F37" i="4"/>
  <c r="H37" i="4" s="1"/>
  <c r="F38" i="4"/>
  <c r="H38"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O88" i="1" l="1"/>
  <c r="BL95" i="5" a="1"/>
  <c r="BL95" i="5" s="1"/>
  <c r="O77" i="8"/>
  <c r="F40" i="4"/>
  <c r="I49"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Q79" i="7"/>
  <c r="DI82" i="5"/>
  <c r="AB82" i="1"/>
  <c r="V82" i="2"/>
  <c r="AC81" i="1"/>
  <c r="DA81" i="5"/>
  <c r="DG81" i="5" s="1" a="1"/>
  <c r="DG81" i="5" s="1"/>
  <c r="AE91" i="9"/>
  <c r="AI91" i="9"/>
  <c r="N67" i="1"/>
  <c r="S84" i="2"/>
  <c r="N85" i="2"/>
  <c r="R85" i="2"/>
  <c r="Q84" i="2"/>
  <c r="P86" i="2"/>
  <c r="O86" i="2"/>
  <c r="J86" i="10"/>
  <c r="M85" i="2"/>
  <c r="AG79" i="7" l="1"/>
  <c r="AF79" i="7"/>
  <c r="O89" i="1"/>
  <c r="BL96" i="5"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AG80" i="7" l="1"/>
  <c r="AI80" i="7" s="1"/>
  <c r="AF80" i="7"/>
  <c r="O90" i="1"/>
  <c r="BL97" i="5"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R80" i="5"/>
  <c r="B80" i="14"/>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AG81" i="7" l="1"/>
  <c r="AF81" i="7"/>
  <c r="O91" i="1"/>
  <c r="BL98" i="5"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AG82" i="7" l="1"/>
  <c r="AF82" i="7"/>
  <c r="O92" i="1"/>
  <c r="BL99" i="5"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AG83" i="7" l="1"/>
  <c r="AF83" i="7"/>
  <c r="O93" i="1"/>
  <c r="BL100" i="5"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Q84" i="7"/>
  <c r="C87" i="5"/>
  <c r="AC86" i="1"/>
  <c r="DA86" i="5"/>
  <c r="DG86" i="5" s="1" a="1"/>
  <c r="DG86" i="5" s="1"/>
  <c r="DI87" i="5"/>
  <c r="AB87" i="1"/>
  <c r="AE96" i="9"/>
  <c r="AI96" i="9"/>
  <c r="N72" i="1"/>
  <c r="S89" i="2"/>
  <c r="N90" i="2"/>
  <c r="R90" i="2"/>
  <c r="Q89" i="2"/>
  <c r="J91" i="10"/>
  <c r="P91" i="2"/>
  <c r="M90" i="2"/>
  <c r="O91" i="2"/>
  <c r="AG85" i="7" l="1"/>
  <c r="AI85" i="7" s="1"/>
  <c r="AF85" i="7"/>
  <c r="AG84" i="7"/>
  <c r="AI84" i="7" s="1"/>
  <c r="AF84" i="7"/>
  <c r="O94" i="1"/>
  <c r="BL101" i="5"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O95" i="1" l="1"/>
  <c r="BL102" i="5"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V89" i="2"/>
  <c r="AC88" i="1"/>
  <c r="DA88" i="5"/>
  <c r="DG88" i="5" s="1" a="1"/>
  <c r="DG88" i="5" s="1"/>
  <c r="AB89" i="1"/>
  <c r="DI89" i="5"/>
  <c r="AE98" i="9"/>
  <c r="AI98" i="9"/>
  <c r="N74" i="1"/>
  <c r="S91" i="2"/>
  <c r="N92" i="2"/>
  <c r="R92" i="2"/>
  <c r="Q91" i="2"/>
  <c r="P93" i="2"/>
  <c r="O93" i="2"/>
  <c r="M92" i="2"/>
  <c r="J93" i="10"/>
  <c r="AG86" i="7" l="1"/>
  <c r="AF86" i="7"/>
  <c r="AG87" i="7"/>
  <c r="AI87" i="7" s="1"/>
  <c r="AF87" i="7"/>
  <c r="O96" i="1"/>
  <c r="BL103" i="5"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O97" i="1" l="1"/>
  <c r="BL104" i="5"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AG88" i="7" l="1"/>
  <c r="AF88" i="7"/>
  <c r="O98" i="1"/>
  <c r="BL105" i="5"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5" i="4"/>
  <c r="N77" i="1"/>
  <c r="S94" i="2"/>
  <c r="N95" i="2"/>
  <c r="R95" i="2"/>
  <c r="Q94" i="2"/>
  <c r="O96" i="2"/>
  <c r="J96" i="10"/>
  <c r="P96" i="2"/>
  <c r="M95" i="2"/>
  <c r="AG89" i="7" l="1"/>
  <c r="AF89" i="7"/>
  <c r="O99" i="1"/>
  <c r="BL106" i="5"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AG91" i="7" l="1"/>
  <c r="AI91" i="7" s="1"/>
  <c r="AF91" i="7"/>
  <c r="AG90" i="7"/>
  <c r="AF90" i="7"/>
  <c r="O100" i="1"/>
  <c r="BL107" i="5"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O101" i="1" l="1"/>
  <c r="BL108" i="5"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93" i="10"/>
  <c r="AA93" i="10" s="1"/>
  <c r="A93" i="11"/>
  <c r="N93" i="11" s="1"/>
  <c r="AW93" i="5"/>
  <c r="AI93" i="5"/>
  <c r="AJ93" i="5"/>
  <c r="DA93" i="8"/>
  <c r="DB93" i="8" s="1"/>
  <c r="E93" i="1"/>
  <c r="CF93" i="8"/>
  <c r="AV93" i="5"/>
  <c r="AB93" i="8"/>
  <c r="BM93" i="8" s="1"/>
  <c r="BE93" i="8"/>
  <c r="BN93" i="8" s="1"/>
  <c r="AR91" i="5"/>
  <c r="AQ91" i="5"/>
  <c r="F94" i="5"/>
  <c r="B94" i="7" s="1"/>
  <c r="AE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CD92" i="8"/>
  <c r="CT92" i="8" s="1"/>
  <c r="CU92" i="8" s="1"/>
  <c r="V94" i="2"/>
  <c r="CZ95" i="5"/>
  <c r="J94" i="2"/>
  <c r="V95" i="2"/>
  <c r="AC94" i="1"/>
  <c r="DA94" i="5"/>
  <c r="DG94" i="5" s="1" a="1"/>
  <c r="DG94" i="5" s="1"/>
  <c r="AB95" i="1"/>
  <c r="DI95" i="5"/>
  <c r="AE104" i="9"/>
  <c r="AI104" i="9"/>
  <c r="N80" i="1"/>
  <c r="S97" i="2"/>
  <c r="N98" i="2"/>
  <c r="R98" i="2"/>
  <c r="Q97" i="2"/>
  <c r="M98" i="2"/>
  <c r="J99" i="10"/>
  <c r="P99" i="2"/>
  <c r="O99" i="2"/>
  <c r="AG93" i="7" l="1"/>
  <c r="AI93" i="7" s="1"/>
  <c r="AF93" i="7"/>
  <c r="AG92" i="7"/>
  <c r="AF92" i="7"/>
  <c r="AG94" i="7"/>
  <c r="AF94" i="7"/>
  <c r="O102" i="1"/>
  <c r="BL109" i="5"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O103" i="1" l="1"/>
  <c r="BL110" i="5"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O104" i="1" l="1"/>
  <c r="BL111" i="5"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AG95" i="7" l="1"/>
  <c r="AF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AG97" i="7" l="1"/>
  <c r="AI97" i="7" s="1"/>
  <c r="AF97" i="7"/>
  <c r="AG96" i="7"/>
  <c r="AI96" i="7" s="1"/>
  <c r="AF96" i="7"/>
  <c r="O106" i="1"/>
  <c r="BL113" i="5"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O107" i="1" l="1"/>
  <c r="BL114" i="5"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AG98" i="7" l="1"/>
  <c r="AI98" i="7" s="1"/>
  <c r="AF98" i="7"/>
  <c r="O108" i="1"/>
  <c r="BL115" i="5"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AG100" i="7" l="1"/>
  <c r="AI100" i="7" s="1"/>
  <c r="AF100" i="7"/>
  <c r="AG99" i="7"/>
  <c r="AF99" i="7"/>
  <c r="O109" i="1"/>
  <c r="O98" i="8"/>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O110" i="1" l="1"/>
  <c r="BL117" i="5"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AG101" i="7" l="1"/>
  <c r="AF101" i="7"/>
  <c r="AG102" i="7"/>
  <c r="AI102" i="7" s="1"/>
  <c r="AF102" i="7"/>
  <c r="O111" i="1"/>
  <c r="BL118" i="5"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O112" i="1" l="1"/>
  <c r="BL119" i="5"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AG103" i="7" l="1"/>
  <c r="AF103" i="7"/>
  <c r="O113" i="1"/>
  <c r="BL120" i="5"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CC104" i="8"/>
  <c r="CS104" i="8" s="1"/>
  <c r="CU104" i="8" s="1"/>
  <c r="D105" i="9"/>
  <c r="N104" i="7"/>
  <c r="AB105" i="8"/>
  <c r="BM105" i="8" s="1"/>
  <c r="W105" i="8"/>
  <c r="AI105" i="5"/>
  <c r="B105" i="9"/>
  <c r="W105" i="9" s="1"/>
  <c r="AV105" i="5"/>
  <c r="B105" i="7"/>
  <c r="AE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AG105" i="7" l="1"/>
  <c r="AI105" i="7" s="1"/>
  <c r="AF105" i="7"/>
  <c r="AG104" i="7"/>
  <c r="AI104" i="7" s="1"/>
  <c r="AF104" i="7"/>
  <c r="O114" i="1"/>
  <c r="BL121" i="5"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AG106" i="7" l="1"/>
  <c r="AI106" i="7" s="1"/>
  <c r="AF106" i="7"/>
  <c r="O115" i="1"/>
  <c r="BL122" i="5"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AG107" i="7" l="1"/>
  <c r="AI107" i="7" s="1"/>
  <c r="AF107" i="7"/>
  <c r="O116" i="1"/>
  <c r="BL123" i="5"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AG108" i="7" l="1"/>
  <c r="AI108" i="7" s="1"/>
  <c r="AF108" i="7"/>
  <c r="O117" i="1"/>
  <c r="BL124" i="5"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O118" i="1" l="1"/>
  <c r="BL125" i="5"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AG109" i="7" l="1"/>
  <c r="AI109" i="7" s="1"/>
  <c r="AF109" i="7"/>
  <c r="O119" i="1"/>
  <c r="BL126" i="5"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O109" i="8"/>
  <c r="CD110" i="8"/>
  <c r="CT110" i="8" s="1"/>
  <c r="Q110" i="7"/>
  <c r="AE110" i="7"/>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AG110" i="7" l="1"/>
  <c r="AF110" i="7"/>
  <c r="O120" i="1"/>
  <c r="BL127" i="5"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AG112" i="7" l="1"/>
  <c r="AI112" i="7" s="1"/>
  <c r="AF112" i="7"/>
  <c r="AG111" i="7"/>
  <c r="AF111" i="7"/>
  <c r="O121" i="1"/>
  <c r="BL128" i="5"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O122" i="1" l="1"/>
  <c r="BL129" i="5"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AG113" i="7" l="1"/>
  <c r="AI113" i="7" s="1"/>
  <c r="AF113" i="7"/>
  <c r="O123" i="1"/>
  <c r="BL130" i="5"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CC114" i="8"/>
  <c r="CS114" i="8" s="1"/>
  <c r="BU114" i="8"/>
  <c r="BV114" i="8"/>
  <c r="BW114" i="8"/>
  <c r="CM114" i="8" s="1"/>
  <c r="BT114" i="8"/>
  <c r="BX114" i="8"/>
  <c r="CO114" i="8" s="1"/>
  <c r="CP114" i="8" s="1"/>
  <c r="AE114" i="7"/>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AG114" i="7" l="1"/>
  <c r="AI114" i="7" s="1"/>
  <c r="AF114" i="7"/>
  <c r="AG115" i="7"/>
  <c r="AI115" i="7" s="1"/>
  <c r="AF115" i="7"/>
  <c r="O124" i="1"/>
  <c r="BL131" i="5"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O114" i="8"/>
  <c r="J117" i="2"/>
  <c r="CZ118" i="5"/>
  <c r="AB118" i="1"/>
  <c r="DI118" i="5"/>
  <c r="V118" i="2"/>
  <c r="AC117" i="1"/>
  <c r="DA117" i="5"/>
  <c r="DG117" i="5" s="1" a="1"/>
  <c r="DG117" i="5" s="1"/>
  <c r="AE127" i="9"/>
  <c r="AI127" i="9"/>
  <c r="N103" i="1"/>
  <c r="S120" i="2"/>
  <c r="N121" i="2"/>
  <c r="R121" i="2"/>
  <c r="Q120" i="2"/>
  <c r="O122" i="2"/>
  <c r="J122" i="10"/>
  <c r="M121" i="2"/>
  <c r="P122" i="2"/>
  <c r="AG116" i="7" l="1"/>
  <c r="AI116" i="7" s="1"/>
  <c r="AF116" i="7"/>
  <c r="O125" i="1"/>
  <c r="BL132" i="5"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AG117" i="7" l="1"/>
  <c r="AI117" i="7" s="1"/>
  <c r="AF117" i="7"/>
  <c r="O126" i="1"/>
  <c r="BL133" i="5"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O127" i="1" l="1"/>
  <c r="BL134" i="5"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AG118" i="7" l="1"/>
  <c r="AF118" i="7"/>
  <c r="AG119" i="7"/>
  <c r="AI119" i="7" s="1"/>
  <c r="AF119" i="7"/>
  <c r="O128" i="1"/>
  <c r="BY118" i="8"/>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AG120" i="7" l="1"/>
  <c r="AF120" i="7"/>
  <c r="O129" i="1"/>
  <c r="O118" i="8"/>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G121" i="7" l="1"/>
  <c r="AF121" i="7"/>
  <c r="O130" i="1"/>
  <c r="AK125" i="1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O131" i="1" l="1"/>
  <c r="BY121" i="8"/>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AG122" i="7" l="1"/>
  <c r="AI122" i="7" s="1"/>
  <c r="AF122" i="7"/>
  <c r="O132" i="1"/>
  <c r="O121" i="8"/>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C125" i="5"/>
  <c r="F125" i="5" s="1"/>
  <c r="V125" i="2"/>
  <c r="Q123" i="7"/>
  <c r="AE123" i="7"/>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AG124" i="7" l="1"/>
  <c r="AI124" i="7" s="1"/>
  <c r="AF124" i="7"/>
  <c r="AG123" i="7"/>
  <c r="AI123" i="7" s="1"/>
  <c r="AF123" i="7"/>
  <c r="O133" i="1"/>
  <c r="BY123" i="8"/>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R123" i="5"/>
  <c r="V127" i="2"/>
  <c r="AC126" i="1"/>
  <c r="DA126" i="5"/>
  <c r="DG126" i="5" s="1" a="1"/>
  <c r="DG126" i="5" s="1"/>
  <c r="AB127" i="1"/>
  <c r="DI127" i="5"/>
  <c r="AE136" i="9"/>
  <c r="AI136" i="9"/>
  <c r="N112" i="1"/>
  <c r="S129" i="2"/>
  <c r="N130" i="2"/>
  <c r="R130" i="2"/>
  <c r="Q129" i="2"/>
  <c r="M130" i="2"/>
  <c r="O131" i="2"/>
  <c r="J131" i="10"/>
  <c r="P131" i="2"/>
  <c r="O134" i="1" l="1"/>
  <c r="AP125" i="5"/>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AG125" i="7" l="1"/>
  <c r="AF125" i="7"/>
  <c r="O135" i="1"/>
  <c r="BY125" i="8"/>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AG126" i="7" l="1"/>
  <c r="AF126" i="7"/>
  <c r="O136" i="1"/>
  <c r="O125" i="8"/>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Q127" i="7"/>
  <c r="AR126" i="5"/>
  <c r="AB130" i="1"/>
  <c r="DI130" i="5"/>
  <c r="V130" i="2"/>
  <c r="AC129" i="1"/>
  <c r="DA129" i="5"/>
  <c r="DG129" i="5" s="1" a="1"/>
  <c r="DG129" i="5" s="1"/>
  <c r="N115" i="1"/>
  <c r="S132" i="2"/>
  <c r="N133" i="2"/>
  <c r="R133" i="2"/>
  <c r="Q132" i="2"/>
  <c r="M133" i="2"/>
  <c r="J134" i="10"/>
  <c r="P134" i="2"/>
  <c r="O134" i="2"/>
  <c r="AG127" i="7" l="1"/>
  <c r="AF127" i="7"/>
  <c r="AP128" i="5"/>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R127" i="5"/>
  <c r="V131" i="2"/>
  <c r="AC130" i="1"/>
  <c r="DA130" i="5"/>
  <c r="DG130" i="5" s="1" a="1"/>
  <c r="DG130" i="5" s="1"/>
  <c r="AB131" i="1"/>
  <c r="DI131" i="5"/>
  <c r="N116" i="1"/>
  <c r="S133" i="2"/>
  <c r="N134" i="2"/>
  <c r="R134" i="2"/>
  <c r="Q133" i="2"/>
  <c r="O135" i="2"/>
  <c r="P135" i="2"/>
  <c r="J135" i="10"/>
  <c r="M134" i="2"/>
  <c r="AG128" i="7" l="1"/>
  <c r="AF128" i="7"/>
  <c r="BZ128" i="8"/>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Q129" i="7"/>
  <c r="AR128" i="5"/>
  <c r="O128" i="8"/>
  <c r="AB132" i="1"/>
  <c r="DI132" i="5"/>
  <c r="AC131" i="1"/>
  <c r="DA131" i="5"/>
  <c r="DG131" i="5" s="1" a="1"/>
  <c r="DG131" i="5" s="1"/>
  <c r="N117" i="1"/>
  <c r="S134" i="2"/>
  <c r="N135" i="2"/>
  <c r="R135" i="2"/>
  <c r="Q134" i="2"/>
  <c r="M135" i="2"/>
  <c r="O136" i="2"/>
  <c r="J136" i="10"/>
  <c r="P136" i="2"/>
  <c r="AG129" i="7" l="1"/>
  <c r="AF129" i="7"/>
  <c r="BY129" i="8"/>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G130" i="7" l="1"/>
  <c r="AF130" i="7"/>
  <c r="O129" i="8"/>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AG131" i="7" l="1"/>
  <c r="AF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BT132" i="8"/>
  <c r="BT133" i="5"/>
  <c r="E133" i="1"/>
  <c r="BW132" i="8"/>
  <c r="CM132" i="8" s="1"/>
  <c r="BU132" i="8"/>
  <c r="BV132" i="8"/>
  <c r="CC132" i="8"/>
  <c r="CS132" i="8" s="1"/>
  <c r="W133" i="8"/>
  <c r="AB133" i="8"/>
  <c r="BM133" i="8" s="1"/>
  <c r="A133" i="10"/>
  <c r="AA133" i="10" s="1"/>
  <c r="AW133" i="5"/>
  <c r="B133" i="7"/>
  <c r="AE133" i="7" s="1"/>
  <c r="F134" i="5"/>
  <c r="B135" i="10"/>
  <c r="D135" i="7"/>
  <c r="G136" i="5"/>
  <c r="CZ136" i="5" s="1"/>
  <c r="B135" i="5"/>
  <c r="V135" i="2"/>
  <c r="C135" i="5"/>
  <c r="AB136" i="1"/>
  <c r="DI136" i="5"/>
  <c r="J136" i="2"/>
  <c r="AC135" i="1"/>
  <c r="DA135" i="5"/>
  <c r="N121" i="1"/>
  <c r="AG133" i="7" l="1"/>
  <c r="AF133" i="7"/>
  <c r="AG132" i="7"/>
  <c r="AI132" i="7" s="1"/>
  <c r="AF132" i="7"/>
  <c r="BY132" i="8"/>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CD134" i="8"/>
  <c r="CT134" i="8" s="1"/>
  <c r="AV135" i="5"/>
  <c r="F136" i="5"/>
  <c r="BZ134" i="8"/>
  <c r="AA1269" i="14"/>
  <c r="AA1270" i="14" s="1"/>
  <c r="N123" i="1"/>
  <c r="AG134" i="7" l="1"/>
  <c r="AF134" i="7"/>
  <c r="O133" i="8"/>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G136" i="7" l="1"/>
  <c r="AF136" i="7"/>
  <c r="AG135" i="7"/>
  <c r="AF135" i="7"/>
  <c r="BZ135" i="8"/>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BZ136" i="8" l="1"/>
  <c r="CQ136" i="8" s="1"/>
  <c r="CR136" i="8" s="1"/>
  <c r="I62" i="4"/>
  <c r="CL136" i="8"/>
  <c r="CL135" i="8"/>
  <c r="CY135" i="8" s="1"/>
  <c r="G135" i="1" s="1"/>
  <c r="M135" i="8" s="1"/>
  <c r="CU136" i="8"/>
  <c r="O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U16" i="2" s="1"/>
  <c r="AT16" i="8"/>
  <c r="AB16" i="7"/>
  <c r="AJ16" i="7" s="1"/>
  <c r="BL70" i="1"/>
  <c r="V70" i="1"/>
  <c r="K71" i="1" s="1"/>
  <c r="AR71" i="1" s="1"/>
  <c r="C70" i="9"/>
  <c r="W15" i="2" l="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U26" i="2" s="1"/>
  <c r="V126" i="1"/>
  <c r="K127" i="1" s="1"/>
  <c r="AR127" i="1" s="1"/>
  <c r="BL126" i="1"/>
  <c r="C126" i="9"/>
  <c r="W25" i="2" l="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U35" i="2" s="1"/>
  <c r="AB35" i="7"/>
  <c r="AJ35" i="7" s="1"/>
  <c r="W34" i="2" l="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U46" i="2" s="1"/>
  <c r="AT46" i="8"/>
  <c r="W45" i="2" l="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U47" i="2" s="1"/>
  <c r="AB47" i="7"/>
  <c r="AJ47" i="7" s="1"/>
  <c r="W46" i="2" l="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s="1"/>
  <c r="W55" i="2" l="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U59" i="2" s="1"/>
  <c r="AB59" i="7"/>
  <c r="AJ59" i="7" s="1"/>
  <c r="W58" i="2" l="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U61" i="2" s="1"/>
  <c r="AB61" i="7"/>
  <c r="AJ61" i="7" s="1"/>
  <c r="W60" i="2" l="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O63" i="7"/>
  <c r="P63" i="7" l="1"/>
  <c r="F63" i="9"/>
  <c r="BJ64" i="1"/>
  <c r="C63" i="8"/>
  <c r="Z63" i="2"/>
  <c r="Z64" i="8" s="1"/>
  <c r="B64" i="8" s="1"/>
  <c r="Y63" i="2" l="1"/>
  <c r="X63" i="2" s="1"/>
  <c r="H64" i="11" l="1"/>
  <c r="AT64" i="8"/>
  <c r="E64" i="2"/>
  <c r="L64" i="2" s="1"/>
  <c r="D64" i="2"/>
  <c r="U64" i="2" s="1"/>
  <c r="AB64" i="7"/>
  <c r="M28" i="7"/>
  <c r="W63" i="2" l="1"/>
  <c r="C64" i="2" s="1"/>
  <c r="R64" i="8" l="1"/>
  <c r="H64" i="1"/>
  <c r="F64" i="1"/>
  <c r="H64" i="2"/>
  <c r="I64" i="2"/>
  <c r="I64" i="11" s="1"/>
  <c r="F64" i="2"/>
  <c r="AK64" i="5" l="1"/>
  <c r="AC64" i="7"/>
  <c r="AJ64" i="7" s="1"/>
  <c r="I55" i="4"/>
  <c r="J55" i="4"/>
  <c r="C64" i="11"/>
  <c r="V64" i="10"/>
  <c r="AN64" i="8"/>
  <c r="BI64" i="1"/>
  <c r="J64" i="1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s="1"/>
  <c r="W69" i="2" l="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H41" i="4"/>
  <c r="B41" i="4"/>
  <c r="R76" i="8" l="1"/>
  <c r="S76" i="8" s="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U82" i="2" s="1"/>
  <c r="AB82" i="7"/>
  <c r="AJ82" i="7" s="1"/>
  <c r="W81" i="2" l="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U85" i="2" s="1"/>
  <c r="AT85" i="8"/>
  <c r="W84" i="2" l="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U86" i="2" s="1"/>
  <c r="AB86" i="7"/>
  <c r="AJ86" i="7" s="1"/>
  <c r="W85" i="2" l="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s="1"/>
  <c r="W88" i="2" l="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U90" i="2" s="1"/>
  <c r="AB90" i="7"/>
  <c r="AJ90" i="7" s="1"/>
  <c r="W89" i="2" l="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U91" i="2" s="1"/>
  <c r="AB91" i="7"/>
  <c r="AJ91" i="7" s="1"/>
  <c r="W90" i="2" l="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U116" i="2" s="1"/>
  <c r="AT116" i="8"/>
  <c r="W115" i="2" l="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U127" i="2" s="1"/>
  <c r="AB127" i="7"/>
  <c r="AJ127" i="7" s="1"/>
  <c r="W126" i="2" l="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U129" i="2" s="1"/>
  <c r="AT129" i="8"/>
  <c r="W128" i="2" l="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<sst xmlns="http://schemas.openxmlformats.org/spreadsheetml/2006/main" count="2905" uniqueCount="1114">
  <si>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</si>
  <si>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</si>
  <si>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</si>
  <si>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</si>
  <si>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</si>
  <si>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</si>
  <si>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</si>
  <si>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</si>
  <si>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</si>
  <si>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</si>
  <si>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</si>
  <si>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</si>
  <si>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</si>
  <si>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</si>
  <si>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</si>
  <si>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</si>
  <si>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</si>
  <si>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</si>
  <si>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</si>
  <si>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</si>
  <si>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</si>
  <si>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</si>
  <si>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</si>
  <si>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</si>
  <si>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</si>
  <si>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</si>
  <si>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</si>
  <si>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</si>
  <si>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</si>
  <si>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</si>
  <si>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</si>
  <si>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</si>
  <si>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</si>
  <si>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</si>
  <si>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</si>
  <si>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</si>
  <si>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</si>
  <si>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</si>
  <si>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</si>
  <si>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</si>
  <si>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</si>
  <si>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</si>
  <si>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</si>
  <si>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</si>
  <si>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</si>
  <si>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</si>
  <si>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</si>
  <si>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</si>
  <si>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</si>
  <si>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</si>
  <si>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</si>
  <si>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</si>
  <si>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</si>
  <si>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</si>
  <si>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</si>
  <si>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</si>
  <si>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</si>
  <si>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</si>
  <si>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</si>
  <si>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</si>
  <si>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</si>
  <si>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</si>
  <si>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</si>
  <si>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</si>
  <si>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</si>
  <si>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</si>
  <si>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</si>
  <si>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</si>
  <si>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</si>
  <si>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</si>
  <si>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</si>
  <si>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</si>
  <si>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</si>
  <si>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</si>
  <si>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</si>
  <si>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</si>
  <si>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</si>
  <si>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</si>
  <si>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</si>
  <si>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</si>
  <si>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</si>
  <si>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</si>
  <si>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</si>
  <si>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</si>
  <si>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</si>
  <si>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</si>
  <si>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</si>
  <si>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</si>
  <si>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</si>
  <si>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</si>
  <si>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</si>
  <si>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</si>
  <si>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</si>
  <si>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</si>
  <si>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</si>
  <si>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</si>
  <si>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</si>
  <si>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</si>
  <si>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</si>
  <si>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</si>
  <si>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</si>
  <si>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</si>
  <si>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</si>
  <si>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</si>
  <si>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</si>
  <si>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</si>
  <si>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</si>
  <si>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</si>
  <si>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</si>
  <si>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</si>
  <si>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</si>
  <si>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</si>
  <si>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</si>
  <si>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</si>
  <si>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</si>
  <si>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</si>
  <si>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</si>
  <si>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</si>
  <si>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</si>
  <si>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</si>
  <si>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</si>
  <si>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</si>
  <si>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</si>
  <si>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</si>
  <si>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</si>
  <si>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</si>
  <si>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</si>
  <si>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</si>
  <si>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</si>
  <si>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</si>
  <si>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</si>
  <si>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</si>
  <si>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</si>
  <si>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</si>
  <si>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</si>
  <si>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</si>
  <si>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</si>
  <si>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</si>
  <si>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</si>
  <si>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</si>
  <si>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</si>
  <si>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</si>
  <si>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</si>
  <si>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</si>
  <si>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</si>
  <si>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</si>
  <si>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</si>
  <si>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</si>
  <si>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</si>
  <si>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</si>
  <si>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</si>
  <si>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</si>
  <si>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</si>
  <si>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</si>
  <si>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</si>
  <si>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</si>
  <si>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</si>
  <si>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</si>
  <si>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</si>
  <si>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</si>
  <si>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</si>
  <si>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</si>
  <si>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</si>
  <si>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</si>
  <si>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</si>
  <si>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</si>
  <si>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</si>
  <si>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</si>
  <si>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</si>
  <si>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</si>
  <si>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</si>
  <si>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</si>
  <si>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</si>
  <si>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</si>
  <si>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</si>
  <si>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</si>
  <si>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</si>
  <si>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</si>
  <si>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</si>
  <si>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</si>
  <si>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</si>
  <si>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</si>
  <si>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</si>
  <si>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</si>
  <si>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</si>
  <si>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</si>
  <si>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</si>
  <si>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</si>
  <si>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</si>
  <si>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</si>
  <si>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</si>
  <si>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</si>
  <si>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</si>
  <si>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</si>
  <si>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</si>
  <si>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</si>
  <si>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</si>
  <si>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</si>
  <si>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</si>
  <si>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</si>
  <si>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</si>
  <si>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</si>
  <si>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</si>
  <si>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</si>
  <si>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</si>
  <si>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</si>
  <si>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</si>
  <si>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</si>
  <si>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</si>
  <si>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</si>
  <si>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</si>
  <si>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</si>
  <si>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</si>
  <si>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</si>
  <si>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</si>
  <si>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</si>
  <si>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</si>
  <si>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</si>
  <si>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</si>
  <si>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</si>
  <si>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</si>
  <si>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</si>
  <si>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</si>
  <si>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</si>
  <si>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</si>
  <si>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</si>
  <si>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</si>
  <si>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</si>
  <si>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</si>
  <si>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</si>
  <si>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</si>
  <si>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</si>
  <si>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</si>
  <si>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</si>
  <si>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</si>
  <si>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</si>
  <si>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</si>
  <si>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</si>
  <si>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</si>
  <si>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</si>
  <si>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</si>
  <si>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</si>
  <si>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</si>
  <si>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</si>
  <si>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</si>
  <si>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</si>
  <si>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</si>
  <si>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</si>
  <si>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</si>
  <si>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</si>
  <si>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</si>
  <si>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</si>
  <si>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</si>
  <si>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</si>
  <si>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</si>
  <si>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</si>
  <si>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</si>
  <si>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</si>
  <si>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</si>
  <si>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</si>
  <si>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</si>
  <si>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</si>
  <si>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</si>
  <si>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</si>
  <si>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</si>
  <si>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</si>
  <si>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</si>
  <si>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</si>
  <si>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</si>
  <si>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</si>
  <si>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</si>
  <si>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</si>
  <si>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</si>
  <si>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</si>
  <si>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</si>
  <si>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</si>
  <si>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</si>
  <si>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</si>
  <si>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</si>
  <si>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</si>
  <si>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</si>
  <si>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</si>
  <si>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</si>
  <si>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</si>
  <si>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</si>
  <si>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</si>
  <si>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</si>
  <si>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</si>
  <si>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</si>
  <si>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</si>
  <si>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</si>
  <si>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</si>
  <si>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</si>
  <si>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</si>
  <si>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</si>
  <si>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</si>
  <si>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</si>
  <si>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</si>
  <si>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</si>
  <si>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</si>
  <si>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</si>
  <si>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</si>
  <si>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</si>
  <si>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</si>
  <si>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</si>
  <si>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</si>
  <si>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</si>
  <si>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</si>
  <si>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</si>
  <si>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</si>
  <si>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</si>
  <si>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</si>
  <si>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</si>
  <si>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</si>
  <si>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</si>
  <si>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</si>
  <si>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</si>
  <si>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</si>
  <si>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</si>
  <si>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</si>
  <si>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</si>
  <si>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</si>
  <si>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</si>
  <si>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</si>
  <si>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</si>
  <si>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</si>
  <si>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</si>
  <si>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</si>
  <si>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</si>
  <si>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</si>
  <si>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</si>
  <si>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</si>
  <si>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</si>
  <si>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</si>
  <si>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</si>
  <si>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</si>
  <si>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</si>
  <si>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</si>
  <si>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</si>
  <si>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</si>
  <si>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</si>
  <si>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</si>
  <si>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</si>
  <si>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</si>
  <si>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</si>
  <si>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</si>
  <si>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</si>
  <si>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</si>
  <si>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</si>
  <si>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</si>
  <si>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</si>
  <si>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</si>
  <si>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</si>
  <si>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</si>
  <si>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</si>
  <si>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</si>
  <si>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</si>
  <si>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</si>
  <si>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</si>
  <si>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</si>
  <si>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</si>
  <si>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</si>
  <si>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</si>
  <si>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</si>
  <si>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</si>
  <si>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</si>
  <si>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</si>
  <si>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</si>
  <si>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</si>
  <si>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</si>
  <si>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</si>
  <si>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</si>
  <si>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</si>
  <si>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</si>
  <si>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</si>
  <si>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</si>
  <si>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</si>
  <si>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</si>
  <si>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</si>
  <si>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</si>
  <si>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</si>
  <si>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</si>
  <si>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</si>
  <si>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</si>
  <si>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</si>
  <si>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</si>
  <si>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</si>
  <si>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</si>
  <si>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</si>
  <si>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</si>
  <si>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</si>
  <si>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</si>
  <si>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</si>
  <si>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</si>
  <si>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</si>
  <si>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</si>
  <si>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</si>
  <si>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</si>
  <si>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</si>
  <si>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</si>
  <si>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</si>
  <si>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</si>
  <si>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</si>
  <si>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</si>
  <si>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</si>
  <si>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</si>
  <si>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</si>
  <si>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</si>
  <si>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</si>
  <si>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</si>
  <si>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</si>
  <si>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</si>
  <si>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</si>
  <si>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</si>
  <si>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</si>
  <si>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</si>
  <si>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</si>
  <si>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</si>
  <si>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</si>
  <si>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</si>
  <si>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</si>
  <si>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</si>
  <si>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</si>
  <si>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</si>
  <si>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</si>
  <si>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</si>
  <si>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</si>
  <si>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</si>
  <si>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</si>
  <si>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</si>
  <si>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</si>
  <si>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</si>
  <si>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</si>
  <si>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</si>
  <si>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</si>
  <si>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</si>
  <si>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</si>
  <si>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</si>
  <si>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</si>
  <si>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</si>
  <si>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</si>
  <si>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</si>
  <si>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</si>
  <si>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</si>
  <si>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</si>
  <si>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</si>
  <si>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</si>
  <si>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</si>
  <si>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</si>
  <si>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</si>
  <si>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</si>
  <si>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</si>
  <si>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</si>
  <si>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</si>
  <si>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</si>
  <si>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</si>
  <si>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</si>
  <si>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</si>
  <si>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</si>
  <si>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</si>
  <si>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</si>
  <si>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</si>
  <si>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</si>
  <si>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</si>
  <si>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</si>
  <si>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</si>
  <si>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</si>
  <si>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</si>
  <si>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</si>
  <si>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</si>
  <si>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</si>
  <si>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</si>
  <si>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</si>
  <si>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</si>
  <si>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</si>
  <si>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</si>
  <si>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</si>
  <si>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</si>
  <si>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</si>
  <si>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</si>
  <si>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</si>
  <si>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</si>
  <si>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</si>
  <si>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</si>
  <si>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</si>
  <si>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</si>
  <si>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</si>
  <si>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</si>
  <si>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</si>
  <si>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</si>
  <si>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</si>
  <si>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</si>
  <si>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</si>
  <si>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</si>
  <si>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</si>
  <si>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</si>
  <si>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</si>
  <si>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</si>
  <si>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</si>
  <si>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</si>
  <si>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</si>
  <si>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</si>
  <si>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</si>
  <si>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</si>
  <si>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</si>
  <si>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</si>
  <si>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</si>
  <si>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</si>
  <si>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</si>
  <si>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</si>
  <si>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</si>
  <si>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</si>
  <si>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</si>
  <si>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</si>
  <si>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</si>
  <si>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</si>
  <si>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</si>
  <si>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</si>
  <si>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</si>
  <si>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</si>
  <si>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</si>
  <si>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</si>
  <si>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</si>
  <si>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</si>
  <si>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</si>
  <si>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</si>
  <si>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</si>
  <si>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</si>
  <si>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</si>
  <si>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</si>
  <si>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</si>
  <si>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</si>
  <si>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</si>
  <si>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</si>
  <si>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</si>
  <si>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</si>
  <si>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</si>
  <si>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</si>
  <si>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</si>
  <si>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</si>
  <si>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</si>
  <si>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</si>
  <si>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</si>
  <si>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</si>
  <si>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</si>
  <si>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</si>
  <si>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</si>
  <si>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</si>
  <si>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</si>
  <si>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</si>
  <si>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</si>
  <si>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</si>
  <si>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</si>
  <si>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</si>
  <si>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</si>
  <si>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</si>
  <si>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</si>
  <si>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</si>
  <si>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</si>
  <si>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</si>
  <si>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</si>
  <si>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</si>
  <si>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</si>
  <si>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</si>
  <si>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</si>
  <si>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</si>
  <si>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</si>
  <si>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</si>
  <si>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</si>
  <si>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</si>
  <si>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</si>
  <si>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</si>
  <si>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</si>
  <si>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</si>
  <si>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</si>
  <si>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</si>
  <si>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</si>
  <si>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</si>
  <si>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</si>
  <si>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</si>
  <si>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</si>
  <si>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</si>
  <si>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</si>
  <si>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</si>
  <si>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</si>
  <si>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</si>
  <si>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</si>
  <si>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</si>
  <si>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</si>
  <si>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</si>
  <si>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</si>
  <si>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</si>
  <si>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</si>
  <si>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</si>
  <si>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</si>
  <si>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</si>
  <si>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</si>
  <si>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</si>
  <si>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</si>
  <si>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</si>
  <si>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</si>
  <si>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</si>
  <si>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</si>
  <si>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</si>
  <si>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</si>
  <si>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</si>
  <si>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</si>
  <si>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</si>
  <si>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</si>
  <si>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</si>
  <si>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</si>
  <si>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</si>
  <si>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</si>
  <si>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</si>
  <si>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</si>
  <si>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</si>
  <si>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</si>
  <si>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</si>
  <si>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</si>
  <si>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</si>
  <si>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</si>
  <si>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</si>
  <si>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</si>
  <si>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</si>
  <si>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</si>
  <si>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</si>
  <si>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</si>
  <si>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</si>
  <si>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</si>
  <si>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</si>
  <si>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</si>
  <si>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</si>
  <si>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</si>
  <si>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</si>
  <si>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</si>
  <si>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</si>
  <si>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</si>
  <si>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</si>
  <si>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</si>
  <si>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</si>
  <si>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</si>
  <si>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</si>
  <si>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</si>
  <si>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</si>
  <si>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</si>
  <si>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</si>
  <si>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</si>
  <si>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</si>
  <si>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</si>
  <si>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</si>
  <si>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</si>
  <si>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</si>
  <si>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</si>
  <si>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</si>
  <si>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</si>
  <si>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</si>
  <si>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</si>
  <si>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</si>
  <si>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</si>
  <si>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</si>
  <si>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</si>
  <si>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</si>
  <si>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</si>
  <si>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</si>
  <si>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</si>
  <si>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</si>
  <si>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</si>
  <si>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</si>
  <si>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</si>
  <si>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</si>
  <si>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</si>
  <si>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</si>
  <si>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</si>
  <si>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</si>
  <si>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</si>
  <si>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</si>
  <si>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</si>
  <si>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</si>
  <si>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</si>
  <si>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</si>
  <si>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</si>
  <si>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</si>
  <si>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</si>
  <si>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</si>
  <si>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</si>
  <si>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</si>
  <si>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</si>
  <si>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</si>
  <si>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</si>
  <si>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</si>
  <si>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</si>
  <si>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</si>
  <si>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</si>
  <si>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</si>
  <si>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</si>
  <si>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</si>
  <si>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</si>
  <si>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</si>
  <si>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</si>
  <si>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</si>
  <si>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</si>
  <si>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</si>
  <si>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</si>
  <si>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</si>
  <si>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</si>
  <si>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</si>
  <si>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</si>
  <si>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</si>
  <si>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</si>
  <si>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</si>
  <si>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</si>
  <si>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</si>
  <si>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</si>
  <si>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</si>
  <si>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</si>
  <si>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</si>
  <si>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</si>
  <si>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</si>
  <si>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</si>
  <si>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</si>
  <si>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</si>
  <si>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</si>
  <si>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</si>
  <si>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</si>
  <si>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</si>
  <si>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</si>
  <si>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</si>
  <si>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</si>
  <si>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</si>
  <si>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</si>
  <si>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</si>
  <si>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</si>
  <si>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</si>
  <si>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</si>
  <si>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</si>
  <si>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</si>
  <si>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</si>
  <si>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</si>
  <si>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</si>
  <si>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</si>
  <si>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</si>
  <si>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</si>
  <si>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</si>
  <si>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</si>
  <si>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</si>
  <si>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</si>
  <si>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</si>
  <si>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</si>
  <si>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</si>
  <si>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</si>
  <si>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</si>
  <si>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</si>
  <si>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</si>
  <si>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</si>
  <si>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</si>
  <si>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</si>
  <si>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</si>
  <si>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</si>
  <si>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</si>
  <si>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</si>
  <si>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</si>
  <si>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</si>
  <si>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</si>
  <si>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</si>
  <si>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</si>
  <si>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</si>
  <si>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</si>
  <si>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</si>
  <si>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</si>
  <si>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</si>
  <si>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</si>
  <si>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</si>
  <si>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</si>
  <si>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</si>
  <si>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</si>
  <si>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</si>
  <si>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</si>
  <si>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</si>
  <si>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</si>
  <si>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</si>
  <si>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</si>
  <si>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</si>
  <si>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</si>
  <si>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</si>
  <si>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</si>
  <si>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</si>
  <si>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</si>
  <si>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</si>
  <si>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</si>
  <si>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</si>
  <si>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</si>
  <si>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</si>
  <si>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</si>
  <si>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</si>
  <si>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</si>
  <si>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</si>
  <si>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</si>
  <si>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</si>
  <si>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</si>
  <si>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</si>
  <si>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</si>
  <si>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</si>
  <si>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</si>
  <si>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</si>
  <si>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</si>
  <si>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</si>
  <si>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</si>
  <si>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</si>
  <si>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</si>
  <si>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</si>
  <si>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</si>
  <si>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</si>
  <si>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</si>
  <si>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</si>
  <si>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</si>
  <si>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</si>
  <si>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</si>
  <si>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</si>
  <si>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</si>
  <si>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</si>
  <si>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</si>
  <si>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</si>
  <si>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</si>
  <si>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</si>
  <si>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</si>
  <si>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</si>
  <si>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</si>
  <si>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</si>
  <si>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</si>
  <si>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</si>
  <si>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</si>
  <si>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</si>
  <si>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</si>
  <si>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</si>
  <si>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</si>
  <si>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</si>
  <si>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</si>
  <si>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</si>
  <si>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</si>
  <si>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</si>
  <si>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</si>
  <si>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</si>
  <si>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</si>
  <si>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</si>
  <si>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</si>
  <si>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</si>
  <si>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</si>
  <si>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</si>
  <si>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</si>
  <si>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</si>
  <si>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</si>
  <si>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</si>
  <si>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</si>
  <si>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</si>
  <si>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</si>
  <si>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</si>
  <si>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</si>
  <si>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</si>
  <si>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</si>
  <si>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</si>
  <si>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</si>
  <si>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</si>
  <si>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</si>
  <si>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</si>
  <si>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</si>
  <si>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</si>
  <si>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</si>
  <si>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</si>
  <si>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</si>
  <si>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</si>
  <si>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</si>
  <si>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</si>
  <si>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</si>
  <si>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</si>
  <si>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</si>
  <si>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</si>
  <si>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</si>
  <si>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</si>
  <si>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</si>
  <si>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</si>
  <si>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</si>
  <si>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</si>
  <si>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</si>
  <si>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</si>
  <si>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</si>
  <si>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</si>
  <si>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</si>
  <si>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</si>
  <si>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</si>
  <si>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</si>
  <si>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</si>
  <si>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</si>
  <si>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</si>
  <si>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</si>
  <si>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</si>
  <si>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</si>
  <si>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</si>
  <si>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</si>
  <si>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</si>
  <si>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</si>
  <si>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</si>
  <si>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</si>
  <si>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</si>
  <si>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</si>
  <si>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</si>
  <si>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</si>
  <si>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</si>
  <si>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</si>
  <si>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</si>
  <si>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</si>
  <si>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</si>
  <si>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</si>
  <si>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</si>
  <si>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</si>
  <si>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</si>
  <si>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</si>
  <si>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</si>
  <si>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</si>
  <si>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</si>
  <si>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</si>
  <si>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</si>
  <si>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</si>
  <si>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</si>
  <si>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</si>
  <si>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</si>
  <si>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</si>
  <si>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</si>
  <si>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</si>
  <si>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</si>
  <si>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</si>
  <si>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</si>
  <si>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</si>
  <si>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</si>
  <si>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</si>
  <si>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</si>
  <si>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</si>
  <si>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</si>
  <si>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</si>
  <si>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</si>
  <si>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</si>
  <si>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</si>
  <si>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</si>
  <si>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</si>
  <si>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</si>
  <si>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</si>
  <si>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</si>
  <si>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</si>
  <si>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</si>
  <si>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</si>
  <si>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</si>
  <si>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</si>
  <si>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</si>
  <si>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</si>
  <si>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</si>
  <si>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</si>
  <si>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</si>
  <si>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</si>
  <si>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</si>
  <si>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</si>
  <si>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</si>
  <si>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</si>
  <si>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</si>
  <si>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</si>
  <si>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</si>
  <si>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</si>
  <si>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</si>
  <si>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</si>
  <si>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</si>
  <si>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</si>
  <si>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</si>
  <si>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</si>
  <si>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</si>
  <si>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</si>
  <si>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</si>
  <si>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</si>
  <si>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</si>
  <si>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</si>
  <si>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</si>
  <si>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</si>
  <si>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</si>
  <si>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</si>
  <si>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</si>
  <si>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</si>
  <si>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</si>
  <si>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</si>
  <si>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</si>
  <si>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</si>
  <si>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</si>
  <si>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</si>
  <si>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</si>
  <si>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</si>
  <si>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</si>
  <si>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</si>
  <si>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</si>
  <si>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</si>
  <si>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</si>
  <si>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</si>
  <si>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</si>
  <si>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</si>
  <si>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</si>
  <si>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</si>
  <si>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</si>
  <si>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</si>
  <si>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</si>
  <si>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</si>
  <si>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</si>
  <si>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</si>
  <si>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</si>
  <si>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</si>
  <si>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</si>
  <si>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</si>
  <si>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</si>
  <si>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</si>
  <si>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</si>
  <si>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</si>
  <si>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</si>
  <si>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</si>
  <si>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</si>
  <si>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</si>
  <si>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</si>
  <si>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</si>
  <si>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</si>
  <si>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</si>
  <si>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</si>
  <si>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</si>
  <si>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</si>
  <si>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</si>
  <si>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</si>
  <si>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</si>
  <si>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</si>
  <si>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</si>
  <si>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</si>
  <si>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</si>
  <si>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</si>
  <si>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</si>
  <si>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</si>
  <si>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</si>
  <si>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</si>
  <si>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</si>
  <si>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</si>
  <si>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</si>
  <si>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</si>
  <si>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</si>
  <si>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</si>
  <si>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</si>
  <si>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</si>
  <si>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</si>
  <si>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</si>
  <si>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</si>
  <si>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</si>
  <si>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</si>
  <si>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</si>
  <si>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</si>
  <si>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</si>
  <si>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</si>
  <si>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</si>
  <si>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</si>
  <si>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</si>
  <si>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</si>
  <si>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</si>
  <si>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</si>
  <si>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</si>
  <si>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</si>
  <si>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</si>
  <si>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</si>
  <si>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</si>
  <si>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</si>
  <si>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</si>
  <si>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</si>
  <si>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</si>
  <si>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</si>
  <si>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</si>
  <si>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</si>
  <si>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</si>
  <si>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</si>
  <si>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</si>
  <si>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</si>
  <si>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</si>
  <si>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</si>
  <si>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</si>
  <si>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</si>
  <si>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</si>
  <si>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</si>
  <si>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</si>
  <si>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</si>
  <si>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</si>
  <si>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</si>
  <si>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</si>
  <si>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</si>
  <si>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</si>
  <si>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</si>
  <si>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</si>
  <si>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</si>
  <si>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</si>
  <si>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</si>
  <si>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</si>
  <si>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</si>
  <si>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</si>
  <si>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</si>
  <si>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</si>
  <si>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</si>
  <si>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</si>
  <si>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</si>
  <si>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</si>
  <si>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</si>
  <si>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</si>
  <si>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</si>
  <si>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</si>
  <si>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</si>
  <si>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</si>
  <si>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OD Round 25</t>
  </si>
  <si>
    <t>Schools</t>
  </si>
  <si>
    <t>RP/school%</t>
  </si>
  <si>
    <t>Explore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</si>
</sst>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AE81DB"/>
      <color rgb="FF00FF00"/>
      <color rgb="FFA83800"/>
      <color rgb="FF552583"/>
      <color rgb="FFE64D00"/>
      <color rgb="FFB43C00"/>
      <color rgb="FF993300"/>
      <color rgb="FFA6A6A6"/>
      <color rgb="FFC0C0C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Production!A1"/></Relationships>
</file>

<file path=xl/drawings/_rels/drawing2.xml.rels><?xml version="1.0" encoding="UTF-8" standalone="yes"?>
<Relationships xmlns="http://schemas.openxmlformats.org/package/2006/relationships"><Relationship Id="rId1" Type="http://schemas.openxmlformats.org/officeDocument/2006/relationships/hyperlink" Target="#Construction!A1"/></Relationships>
</file>

<file path=xl/drawings/_rels/drawing3.xml.rels><?xml version="1.0" encoding="UTF-8" standalone="yes"?>
<Relationships xmlns="http://schemas.openxmlformats.org/package/2006/relationships"><Relationship Id="rId3" Type="http://schemas.openxmlformats.org/officeDocument/2006/relationships/hyperlink" Target="#Military!A1"/><Relationship Id="rId2" Type="http://schemas.openxmlformats.org/officeDocument/2006/relationships/hyperlink" Target="#Explore!A1"/><Relationship Id="rId1" Type="http://schemas.openxmlformats.org/officeDocument/2006/relationships/hyperlink" Target="#Rezone!A1"/></Relationships>
</file>

<file path=xl/drawings/_rels/drawing4.xml.rels><?xml version="1.0" encoding="UTF-8" standalone="yes"?>
<Relationships xmlns="http://schemas.openxmlformats.org/package/2006/relationships"><Relationship Id="rId1" Type="http://schemas.openxmlformats.org/officeDocument/2006/relationships/hyperlink" Target="#Construction!A1"/></Relationships>
</file>

<file path=xl/drawings/_rels/drawing5.xml.rels><?xml version="1.0" encoding="UTF-8" standalone="yes"?>
<Relationships xmlns="http://schemas.openxmlformats.org/package/2006/relationships"><Relationship Id="rId1" Type="http://schemas.openxmlformats.org/officeDocument/2006/relationships/hyperlink" Target="#Military!A1"/></Relationships>
</file>

<file path=xl/drawings/_rels/drawing6.xml.rels><?xml version="1.0" encoding="UTF-8" standalone="yes"?>
<Relationships xmlns="http://schemas.openxmlformats.org/package/2006/relationships"><Relationship Id="rId2" Type="http://schemas.openxmlformats.org/officeDocument/2006/relationships/hyperlink" Target="#Overview!A1"/><Relationship Id="rId1" Type="http://schemas.openxmlformats.org/officeDocument/2006/relationships/hyperlink" Target="#Magic!A1"/></Relationships>
</file>

<file path=xl/drawings/_rels/drawing7.xml.rels><?xml version="1.0" encoding="UTF-8" standalone="yes"?>
<Relationships xmlns="http://schemas.openxmlformats.org/package/2006/relationships"><Relationship Id="rId1" Type="http://schemas.openxmlformats.org/officeDocument/2006/relationships/hyperlink" Target="#Construction!A1"/></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twoCellAnchor>
    <xdr:from>
      <xdr:col>2</xdr:col>
      <xdr:colOff>638735</xdr:colOff>
      <xdr:row>14</xdr:row>
      <xdr:rowOff>44823</xdr:rowOff>
    </xdr:from>
    <xdr:to>
      <xdr:col>7</xdr:col>
      <xdr:colOff>728382</xdr:colOff>
      <xdr:row>25</xdr:row>
      <xdr:rowOff>11205</xdr:rowOff>
    </xdr:to>
    <xdr:sp macro="" textlink="">
      <xdr:nvSpPr>
        <xdr:cNvPr id="2" name="Rectangle 1">
          <a:extLst>
            <a:ext uri="{FF2B5EF4-FFF2-40B4-BE49-F238E27FC236}">
              <a16:creationId xmlns:a16="http://schemas.microsoft.com/office/drawing/2014/main" id="{AE5D9CD8-F699-4439-A099-6CF6CCFE28ED}"/>
            </a:ext>
          </a:extLst>
        </xdr:cNvPr>
        <xdr:cNvSpPr/>
      </xdr:nvSpPr>
      <xdr:spPr bwMode="auto">
        <a:xfrm>
          <a:off x="2756647" y="2745441"/>
          <a:ext cx="4191000" cy="1692088"/>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Hi and welcome to the OpenDominion Excel Sim! In this sim I'll take you through a very basic Human attacker so that you can try and get the hang of things. On</a:t>
          </a:r>
          <a:r>
            <a:rPr lang="en-US" sz="1100" baseline="0"/>
            <a:t> most pages each line represents one tick of the game.</a:t>
          </a:r>
          <a:endParaRPr lang="en-US" sz="1100"/>
        </a:p>
        <a:p>
          <a:pPr algn="l"/>
          <a:endParaRPr lang="en-US" sz="1100"/>
        </a:p>
        <a:p>
          <a:pPr algn="l"/>
          <a:r>
            <a:rPr lang="en-US" sz="1100"/>
            <a:t>First, remember that the orange/tan cells are the only ones you should be interacting with. Anything else may</a:t>
          </a:r>
          <a:r>
            <a:rPr lang="en-US" sz="1100" baseline="0"/>
            <a:t> break the sim.</a:t>
          </a:r>
        </a:p>
        <a:p>
          <a:pPr algn="l"/>
          <a:endParaRPr lang="en-US" sz="1100" baseline="0"/>
        </a:p>
        <a:p>
          <a:pPr algn="l"/>
          <a:r>
            <a:rPr lang="en-US" sz="1100" baseline="0"/>
            <a:t>We can start by selecting our race here. Due to Click-Through Protection we don't really have to worry about anything else on this page just yet.</a:t>
          </a:r>
          <a:endParaRPr lang="en-US" sz="1100"/>
        </a:p>
      </xdr:txBody>
    </xdr:sp>
    <xdr:clientData/>
  </xdr:twoCellAnchor>
  <xdr:twoCellAnchor>
    <xdr:from>
      <xdr:col>2</xdr:col>
      <xdr:colOff>11206</xdr:colOff>
      <xdr:row>13</xdr:row>
      <xdr:rowOff>78441</xdr:rowOff>
    </xdr:from>
    <xdr:to>
      <xdr:col>2</xdr:col>
      <xdr:colOff>627529</xdr:colOff>
      <xdr:row>21</xdr:row>
      <xdr:rowOff>78441</xdr:rowOff>
    </xdr:to>
    <xdr:cxnSp macro="">
      <xdr:nvCxnSpPr>
        <xdr:cNvPr id="4" name="Straight Arrow Connector 3">
          <a:extLst>
            <a:ext uri="{FF2B5EF4-FFF2-40B4-BE49-F238E27FC236}">
              <a16:creationId xmlns:a16="http://schemas.microsoft.com/office/drawing/2014/main" id="{6CB01FEA-63D3-42AF-8335-C294E1CE5FF0}"/>
            </a:ext>
          </a:extLst>
        </xdr:cNvPr>
        <xdr:cNvCxnSpPr/>
      </xdr:nvCxnSpPr>
      <xdr:spPr bwMode="auto">
        <a:xfrm flipH="1" flipV="1">
          <a:off x="2129118" y="2622176"/>
          <a:ext cx="616323" cy="1255059"/>
        </a:xfrm>
        <a:prstGeom prst="straightConnector1">
          <a:avLst/>
        </a:prstGeom>
        <a:ln>
          <a:solidFill>
            <a:srgbClr val="A83800"/>
          </a:solidFill>
          <a:headEnd type="none" w="med" len="med"/>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78441</xdr:colOff>
      <xdr:row>28</xdr:row>
      <xdr:rowOff>100853</xdr:rowOff>
    </xdr:from>
    <xdr:to>
      <xdr:col>5</xdr:col>
      <xdr:colOff>190500</xdr:colOff>
      <xdr:row>31</xdr:row>
      <xdr:rowOff>112059</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6A93AEF7-A9F5-4BE2-AF5C-873A61773FA3}"/>
            </a:ext>
          </a:extLst>
        </xdr:cNvPr>
        <xdr:cNvSpPr/>
      </xdr:nvSpPr>
      <xdr:spPr bwMode="auto">
        <a:xfrm>
          <a:off x="2196353" y="4997824"/>
          <a:ext cx="2577353" cy="481853"/>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After you've selected your race click here and we'll head over to the Production page.</a:t>
          </a:r>
        </a:p>
      </xdr:txBody>
    </xdr:sp>
    <xdr:clientData/>
  </xdr:twoCellAnchor>
  <xdr:twoCellAnchor>
    <xdr:from>
      <xdr:col>8</xdr:col>
      <xdr:colOff>649942</xdr:colOff>
      <xdr:row>34</xdr:row>
      <xdr:rowOff>44823</xdr:rowOff>
    </xdr:from>
    <xdr:to>
      <xdr:col>12</xdr:col>
      <xdr:colOff>1</xdr:colOff>
      <xdr:row>40</xdr:row>
      <xdr:rowOff>100852</xdr:rowOff>
    </xdr:to>
    <xdr:sp macro="" textlink="">
      <xdr:nvSpPr>
        <xdr:cNvPr id="6" name="Rectangle 5">
          <a:extLst>
            <a:ext uri="{FF2B5EF4-FFF2-40B4-BE49-F238E27FC236}">
              <a16:creationId xmlns:a16="http://schemas.microsoft.com/office/drawing/2014/main" id="{27C12B60-3CBA-4AB4-B98E-334ED0DB4160}"/>
            </a:ext>
          </a:extLst>
        </xdr:cNvPr>
        <xdr:cNvSpPr/>
      </xdr:nvSpPr>
      <xdr:spPr bwMode="auto">
        <a:xfrm>
          <a:off x="7956177" y="6095999"/>
          <a:ext cx="2711824" cy="1019735"/>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These are our OOP stats.</a:t>
          </a:r>
        </a:p>
        <a:p>
          <a:pPr algn="l"/>
          <a:endParaRPr lang="en-US" sz="1100"/>
        </a:p>
        <a:p>
          <a:pPr algn="l"/>
          <a:r>
            <a:rPr lang="en-US" sz="1100"/>
            <a:t>We have over 3800 OP</a:t>
          </a:r>
          <a:r>
            <a:rPr lang="en-US" sz="1100" baseline="0"/>
            <a:t> in Cavalry which should get us two hits and just about 4400 DP which should keep us reasonably defended as well. </a:t>
          </a:r>
          <a:endParaRPr lang="en-US" sz="1100"/>
        </a:p>
      </xdr:txBody>
    </xdr:sp>
    <xdr:clientData/>
  </xdr:twoCellAnchor>
  <xdr:twoCellAnchor>
    <xdr:from>
      <xdr:col>6</xdr:col>
      <xdr:colOff>134471</xdr:colOff>
      <xdr:row>45</xdr:row>
      <xdr:rowOff>0</xdr:rowOff>
    </xdr:from>
    <xdr:to>
      <xdr:col>9</xdr:col>
      <xdr:colOff>257735</xdr:colOff>
      <xdr:row>50</xdr:row>
      <xdr:rowOff>78441</xdr:rowOff>
    </xdr:to>
    <xdr:sp macro="" textlink="">
      <xdr:nvSpPr>
        <xdr:cNvPr id="7" name="Rectangle 6">
          <a:extLst>
            <a:ext uri="{FF2B5EF4-FFF2-40B4-BE49-F238E27FC236}">
              <a16:creationId xmlns:a16="http://schemas.microsoft.com/office/drawing/2014/main" id="{75A5B1BA-D58F-442D-A612-F57DF726542F}"/>
            </a:ext>
          </a:extLst>
        </xdr:cNvPr>
        <xdr:cNvSpPr/>
      </xdr:nvSpPr>
      <xdr:spPr bwMode="auto">
        <a:xfrm>
          <a:off x="5569324" y="7821706"/>
          <a:ext cx="3081617" cy="862853"/>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Here is an overview of our OOP buildings.</a:t>
          </a:r>
        </a:p>
        <a:p>
          <a:pPr algn="l"/>
          <a:endParaRPr lang="en-US" sz="1100"/>
        </a:p>
        <a:p>
          <a:pPr algn="l"/>
          <a:r>
            <a:rPr lang="en-US" sz="1100"/>
            <a:t>As you can see we hit 18%</a:t>
          </a:r>
          <a:r>
            <a:rPr lang="en-US" sz="1100" baseline="0"/>
            <a:t> smithies and have plenty of alchemies to boost our plat production.</a:t>
          </a:r>
          <a:endParaRPr lang="en-US" sz="1100"/>
        </a:p>
      </xdr:txBody>
    </xdr:sp>
    <xdr:clientData/>
  </xdr:twoCellAnchor>
  <xdr:twoCellAnchor>
    <xdr:from>
      <xdr:col>9</xdr:col>
      <xdr:colOff>1064559</xdr:colOff>
      <xdr:row>56</xdr:row>
      <xdr:rowOff>11205</xdr:rowOff>
    </xdr:from>
    <xdr:to>
      <xdr:col>15</xdr:col>
      <xdr:colOff>0</xdr:colOff>
      <xdr:row>62</xdr:row>
      <xdr:rowOff>78441</xdr:rowOff>
    </xdr:to>
    <xdr:sp macro="" textlink="">
      <xdr:nvSpPr>
        <xdr:cNvPr id="8" name="Rectangle 7">
          <a:extLst>
            <a:ext uri="{FF2B5EF4-FFF2-40B4-BE49-F238E27FC236}">
              <a16:creationId xmlns:a16="http://schemas.microsoft.com/office/drawing/2014/main" id="{5E968D7D-4B72-4C9A-A743-0948D7B14A9C}"/>
            </a:ext>
          </a:extLst>
        </xdr:cNvPr>
        <xdr:cNvSpPr/>
      </xdr:nvSpPr>
      <xdr:spPr bwMode="auto">
        <a:xfrm>
          <a:off x="9457765" y="9558617"/>
          <a:ext cx="3227294" cy="1008530"/>
        </a:xfrm>
        <a:prstGeom prst="rect">
          <a:avLst/>
        </a:prstGeom>
        <a:solidFill>
          <a:srgbClr val="AE81DB"/>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And</a:t>
          </a:r>
          <a:r>
            <a:rPr lang="en-US" sz="1100" baseline="0"/>
            <a:t> that's it! The sim may seem a daunting task at first but with a little repetition you'll be a pro in no time.</a:t>
          </a:r>
        </a:p>
        <a:p>
          <a:pPr algn="l"/>
          <a:endParaRPr lang="en-US" sz="1100" baseline="0"/>
        </a:p>
        <a:p>
          <a:pPr algn="l"/>
          <a:r>
            <a:rPr lang="en-US" sz="1100" baseline="0"/>
            <a:t>There are countless ways to sim so try to play around, experiment, and see what works best for you!</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403413</xdr:colOff>
      <xdr:row>15</xdr:row>
      <xdr:rowOff>56029</xdr:rowOff>
    </xdr:from>
    <xdr:to>
      <xdr:col>10</xdr:col>
      <xdr:colOff>705972</xdr:colOff>
      <xdr:row>27</xdr:row>
      <xdr:rowOff>33617</xdr:rowOff>
    </xdr:to>
    <xdr:sp macro="" textlink="">
      <xdr:nvSpPr>
        <xdr:cNvPr id="2" name="Rectangle 1">
          <a:extLst>
            <a:ext uri="{FF2B5EF4-FFF2-40B4-BE49-F238E27FC236}">
              <a16:creationId xmlns:a16="http://schemas.microsoft.com/office/drawing/2014/main" id="{FB6F492B-3B0A-4EAD-B9E2-05F501142096}"/>
            </a:ext>
          </a:extLst>
        </xdr:cNvPr>
        <xdr:cNvSpPr/>
      </xdr:nvSpPr>
      <xdr:spPr bwMode="auto">
        <a:xfrm>
          <a:off x="3148854" y="2577353"/>
          <a:ext cx="4616824" cy="1860176"/>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We don't need to worry about a lot on this</a:t>
          </a:r>
          <a:r>
            <a:rPr lang="en-US" sz="1100" baseline="0"/>
            <a:t> page but we should set a few things up first so we don't need to worry about it later.</a:t>
          </a:r>
        </a:p>
        <a:p>
          <a:pPr algn="l"/>
          <a:endParaRPr lang="en-US" sz="1100" baseline="0"/>
        </a:p>
        <a:p>
          <a:pPr algn="l"/>
          <a:r>
            <a:rPr lang="en-US" sz="1100"/>
            <a:t>We take our daily</a:t>
          </a:r>
          <a:r>
            <a:rPr lang="en-US" sz="1100" baseline="0"/>
            <a:t> </a:t>
          </a:r>
          <a:r>
            <a:rPr lang="en-US" sz="1100"/>
            <a:t>platinum bonus by typing a "1" in these</a:t>
          </a:r>
          <a:r>
            <a:rPr lang="en-US" sz="1100" baseline="0"/>
            <a:t> cells here on the left. It's best to take these when your population is at it's maximum so the last hour on days 1 and 2. Day 3 can vary but for now we'll set it as the hour we have to train our troops.</a:t>
          </a:r>
        </a:p>
        <a:p>
          <a:pPr algn="l"/>
          <a:endParaRPr lang="en-US" sz="1100" baseline="0"/>
        </a:p>
        <a:p>
          <a:pPr algn="l"/>
          <a:r>
            <a:rPr lang="en-US" sz="1100" baseline="0"/>
            <a:t>Lastly, trade your 10,000 gems for platinum all the way over there on the right.</a:t>
          </a:r>
          <a:endParaRPr lang="en-US" sz="1100"/>
        </a:p>
      </xdr:txBody>
    </xdr:sp>
    <xdr:clientData/>
  </xdr:twoCellAnchor>
  <xdr:twoCellAnchor>
    <xdr:from>
      <xdr:col>2</xdr:col>
      <xdr:colOff>425824</xdr:colOff>
      <xdr:row>18</xdr:row>
      <xdr:rowOff>112058</xdr:rowOff>
    </xdr:from>
    <xdr:to>
      <xdr:col>5</xdr:col>
      <xdr:colOff>392206</xdr:colOff>
      <xdr:row>26</xdr:row>
      <xdr:rowOff>56030</xdr:rowOff>
    </xdr:to>
    <xdr:cxnSp macro="">
      <xdr:nvCxnSpPr>
        <xdr:cNvPr id="6" name="Straight Arrow Connector 5">
          <a:extLst>
            <a:ext uri="{FF2B5EF4-FFF2-40B4-BE49-F238E27FC236}">
              <a16:creationId xmlns:a16="http://schemas.microsoft.com/office/drawing/2014/main" id="{7FE711FB-0CC0-47CE-8357-9C7C37D29DC2}"/>
            </a:ext>
          </a:extLst>
        </xdr:cNvPr>
        <xdr:cNvCxnSpPr/>
      </xdr:nvCxnSpPr>
      <xdr:spPr bwMode="auto">
        <a:xfrm flipH="1">
          <a:off x="1568824" y="3104029"/>
          <a:ext cx="1568823" cy="1199030"/>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xdr:col>
      <xdr:colOff>358588</xdr:colOff>
      <xdr:row>19</xdr:row>
      <xdr:rowOff>11206</xdr:rowOff>
    </xdr:from>
    <xdr:to>
      <xdr:col>5</xdr:col>
      <xdr:colOff>437030</xdr:colOff>
      <xdr:row>50</xdr:row>
      <xdr:rowOff>67235</xdr:rowOff>
    </xdr:to>
    <xdr:cxnSp macro="">
      <xdr:nvCxnSpPr>
        <xdr:cNvPr id="8" name="Straight Arrow Connector 7">
          <a:extLst>
            <a:ext uri="{FF2B5EF4-FFF2-40B4-BE49-F238E27FC236}">
              <a16:creationId xmlns:a16="http://schemas.microsoft.com/office/drawing/2014/main" id="{E9D5F82A-041E-4F9A-85F0-52E7D0E3FCBF}"/>
            </a:ext>
          </a:extLst>
        </xdr:cNvPr>
        <xdr:cNvCxnSpPr/>
      </xdr:nvCxnSpPr>
      <xdr:spPr bwMode="auto">
        <a:xfrm flipH="1">
          <a:off x="1501588" y="3160059"/>
          <a:ext cx="1680883" cy="4919382"/>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xdr:col>
      <xdr:colOff>414620</xdr:colOff>
      <xdr:row>21</xdr:row>
      <xdr:rowOff>44823</xdr:rowOff>
    </xdr:from>
    <xdr:to>
      <xdr:col>5</xdr:col>
      <xdr:colOff>403413</xdr:colOff>
      <xdr:row>58</xdr:row>
      <xdr:rowOff>89647</xdr:rowOff>
    </xdr:to>
    <xdr:cxnSp macro="">
      <xdr:nvCxnSpPr>
        <xdr:cNvPr id="10" name="Straight Arrow Connector 9">
          <a:extLst>
            <a:ext uri="{FF2B5EF4-FFF2-40B4-BE49-F238E27FC236}">
              <a16:creationId xmlns:a16="http://schemas.microsoft.com/office/drawing/2014/main" id="{E75D73C3-2183-4E5E-BBCA-FF295438A95A}"/>
            </a:ext>
          </a:extLst>
        </xdr:cNvPr>
        <xdr:cNvCxnSpPr>
          <a:stCxn id="2" idx="1"/>
        </xdr:cNvCxnSpPr>
      </xdr:nvCxnSpPr>
      <xdr:spPr bwMode="auto">
        <a:xfrm flipH="1">
          <a:off x="1557620" y="3507441"/>
          <a:ext cx="1591234" cy="5849471"/>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10</xdr:col>
      <xdr:colOff>694765</xdr:colOff>
      <xdr:row>3</xdr:row>
      <xdr:rowOff>100853</xdr:rowOff>
    </xdr:from>
    <xdr:to>
      <xdr:col>57</xdr:col>
      <xdr:colOff>224117</xdr:colOff>
      <xdr:row>24</xdr:row>
      <xdr:rowOff>22412</xdr:rowOff>
    </xdr:to>
    <xdr:cxnSp macro="">
      <xdr:nvCxnSpPr>
        <xdr:cNvPr id="13" name="Straight Arrow Connector 12">
          <a:extLst>
            <a:ext uri="{FF2B5EF4-FFF2-40B4-BE49-F238E27FC236}">
              <a16:creationId xmlns:a16="http://schemas.microsoft.com/office/drawing/2014/main" id="{9251D333-FB80-4A5E-85C2-65B9589B0652}"/>
            </a:ext>
          </a:extLst>
        </xdr:cNvPr>
        <xdr:cNvCxnSpPr/>
      </xdr:nvCxnSpPr>
      <xdr:spPr bwMode="auto">
        <a:xfrm flipV="1">
          <a:off x="7754471" y="739588"/>
          <a:ext cx="33920205" cy="3216089"/>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6</xdr:col>
      <xdr:colOff>291353</xdr:colOff>
      <xdr:row>29</xdr:row>
      <xdr:rowOff>89648</xdr:rowOff>
    </xdr:from>
    <xdr:to>
      <xdr:col>10</xdr:col>
      <xdr:colOff>470647</xdr:colOff>
      <xdr:row>31</xdr:row>
      <xdr:rowOff>145677</xdr:rowOff>
    </xdr:to>
    <xdr:sp macro="" textlink="">
      <xdr:nvSpPr>
        <xdr:cNvPr id="17" name="Rectangle 16">
          <a:hlinkClick xmlns:r="http://schemas.openxmlformats.org/officeDocument/2006/relationships" r:id="rId1"/>
          <a:extLst>
            <a:ext uri="{FF2B5EF4-FFF2-40B4-BE49-F238E27FC236}">
              <a16:creationId xmlns:a16="http://schemas.microsoft.com/office/drawing/2014/main" id="{5F17E9ED-0189-45B3-B090-165342CBBA76}"/>
            </a:ext>
          </a:extLst>
        </xdr:cNvPr>
        <xdr:cNvSpPr/>
      </xdr:nvSpPr>
      <xdr:spPr bwMode="auto">
        <a:xfrm>
          <a:off x="3899647" y="4807324"/>
          <a:ext cx="3630706" cy="369794"/>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Now you</a:t>
          </a:r>
          <a:r>
            <a:rPr lang="en-US" sz="1100" baseline="0"/>
            <a:t> can click here to head over to the Construction page.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100853</xdr:colOff>
      <xdr:row>4</xdr:row>
      <xdr:rowOff>11207</xdr:rowOff>
    </xdr:from>
    <xdr:to>
      <xdr:col>36</xdr:col>
      <xdr:colOff>224117</xdr:colOff>
      <xdr:row>12</xdr:row>
      <xdr:rowOff>0</xdr:rowOff>
    </xdr:to>
    <xdr:sp macro="" textlink="">
      <xdr:nvSpPr>
        <xdr:cNvPr id="2" name="Rectangle 1">
          <a:extLst>
            <a:ext uri="{FF2B5EF4-FFF2-40B4-BE49-F238E27FC236}">
              <a16:creationId xmlns:a16="http://schemas.microsoft.com/office/drawing/2014/main" id="{2E562C56-4B7F-4F73-AB3A-784658E8B4A2}"/>
            </a:ext>
          </a:extLst>
        </xdr:cNvPr>
        <xdr:cNvSpPr/>
      </xdr:nvSpPr>
      <xdr:spPr bwMode="auto">
        <a:xfrm>
          <a:off x="9267265" y="840442"/>
          <a:ext cx="5266764" cy="1243852"/>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Just focus on the top row here for now. It's time to build our buildings. You build by entering the number</a:t>
          </a:r>
          <a:r>
            <a:rPr lang="en-US" sz="1100" baseline="0"/>
            <a:t> of buildings you want</a:t>
          </a:r>
          <a:r>
            <a:rPr lang="en-US" sz="1100"/>
            <a:t> in the columns</a:t>
          </a:r>
          <a:r>
            <a:rPr lang="en-US" sz="1100" baseline="0"/>
            <a:t> of the appropriate headers.</a:t>
          </a:r>
        </a:p>
        <a:p>
          <a:pPr algn="l"/>
          <a:endParaRPr lang="en-US" sz="1100" baseline="0"/>
        </a:p>
        <a:p>
          <a:pPr algn="l"/>
          <a:r>
            <a:rPr lang="en-US" sz="1100" baseline="0"/>
            <a:t>Keep an eye on your barren acres over here. You can't construct more buildings than you have acres.</a:t>
          </a:r>
        </a:p>
        <a:p>
          <a:pPr algn="l"/>
          <a:endParaRPr lang="en-US" sz="1100" baseline="0"/>
        </a:p>
        <a:p>
          <a:pPr algn="l"/>
          <a:r>
            <a:rPr lang="en-US" sz="1100"/>
            <a:t>Here we've</a:t>
          </a:r>
          <a:r>
            <a:rPr lang="en-US" sz="1100" baseline="0"/>
            <a:t> built some factories, towers and temples to get us started.</a:t>
          </a:r>
          <a:endParaRPr lang="en-US" sz="1100"/>
        </a:p>
      </xdr:txBody>
    </xdr:sp>
    <xdr:clientData/>
  </xdr:twoCellAnchor>
  <xdr:twoCellAnchor>
    <xdr:from>
      <xdr:col>12</xdr:col>
      <xdr:colOff>381000</xdr:colOff>
      <xdr:row>8</xdr:row>
      <xdr:rowOff>5603</xdr:rowOff>
    </xdr:from>
    <xdr:to>
      <xdr:col>20</xdr:col>
      <xdr:colOff>100853</xdr:colOff>
      <xdr:row>9</xdr:row>
      <xdr:rowOff>56029</xdr:rowOff>
    </xdr:to>
    <xdr:cxnSp macro="">
      <xdr:nvCxnSpPr>
        <xdr:cNvPr id="4" name="Straight Arrow Connector 3">
          <a:extLst>
            <a:ext uri="{FF2B5EF4-FFF2-40B4-BE49-F238E27FC236}">
              <a16:creationId xmlns:a16="http://schemas.microsoft.com/office/drawing/2014/main" id="{5869C69F-C1E4-4C26-A140-7D9ECF637652}"/>
            </a:ext>
          </a:extLst>
        </xdr:cNvPr>
        <xdr:cNvCxnSpPr>
          <a:stCxn id="2" idx="1"/>
        </xdr:cNvCxnSpPr>
      </xdr:nvCxnSpPr>
      <xdr:spPr bwMode="auto">
        <a:xfrm flipH="1">
          <a:off x="6981265" y="1462368"/>
          <a:ext cx="2286000" cy="207308"/>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38</xdr:col>
      <xdr:colOff>145676</xdr:colOff>
      <xdr:row>7</xdr:row>
      <xdr:rowOff>33618</xdr:rowOff>
    </xdr:from>
    <xdr:to>
      <xdr:col>40</xdr:col>
      <xdr:colOff>448236</xdr:colOff>
      <xdr:row>10</xdr:row>
      <xdr:rowOff>56030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88613D6D-660F-4069-BD6E-B9849C55F337}"/>
            </a:ext>
          </a:extLst>
        </xdr:cNvPr>
        <xdr:cNvSpPr/>
      </xdr:nvSpPr>
      <xdr:spPr bwMode="auto">
        <a:xfrm>
          <a:off x="15598588" y="1333500"/>
          <a:ext cx="1871383" cy="493059"/>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When you're finished, click here to move to the</a:t>
          </a:r>
          <a:r>
            <a:rPr lang="en-US" sz="1100" baseline="0"/>
            <a:t> Rezone page.</a:t>
          </a:r>
          <a:endParaRPr lang="en-US" sz="1100"/>
        </a:p>
      </xdr:txBody>
    </xdr:sp>
    <xdr:clientData/>
  </xdr:twoCellAnchor>
  <xdr:twoCellAnchor>
    <xdr:from>
      <xdr:col>16</xdr:col>
      <xdr:colOff>67235</xdr:colOff>
      <xdr:row>16</xdr:row>
      <xdr:rowOff>67235</xdr:rowOff>
    </xdr:from>
    <xdr:to>
      <xdr:col>30</xdr:col>
      <xdr:colOff>190500</xdr:colOff>
      <xdr:row>21</xdr:row>
      <xdr:rowOff>145677</xdr:rowOff>
    </xdr:to>
    <xdr:sp macro="" textlink="">
      <xdr:nvSpPr>
        <xdr:cNvPr id="6" name="Rectangle 5">
          <a:extLst>
            <a:ext uri="{FF2B5EF4-FFF2-40B4-BE49-F238E27FC236}">
              <a16:creationId xmlns:a16="http://schemas.microsoft.com/office/drawing/2014/main" id="{8D3C154B-BE7B-41C2-8A0A-034C493FCC5A}"/>
            </a:ext>
          </a:extLst>
        </xdr:cNvPr>
        <xdr:cNvSpPr/>
      </xdr:nvSpPr>
      <xdr:spPr bwMode="auto">
        <a:xfrm>
          <a:off x="8068235" y="2779059"/>
          <a:ext cx="4191000" cy="862853"/>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We built factories at hour 1 and since they take 12 hours to build, they're finished at hour 13. You can see your factory % on the right here.</a:t>
          </a:r>
        </a:p>
        <a:p>
          <a:pPr algn="l"/>
          <a:endParaRPr lang="en-US" sz="1100"/>
        </a:p>
        <a:p>
          <a:pPr algn="l"/>
          <a:r>
            <a:rPr lang="en-US" sz="1100"/>
            <a:t>Now</a:t>
          </a:r>
          <a:r>
            <a:rPr lang="en-US" sz="1100" baseline="0"/>
            <a:t> we built our remaining acres the same way, inputting the numbers of buildings into the appropriate columns.</a:t>
          </a:r>
          <a:endParaRPr lang="en-US" sz="1100"/>
        </a:p>
        <a:p>
          <a:pPr algn="l"/>
          <a:endParaRPr lang="en-US" sz="1100"/>
        </a:p>
      </xdr:txBody>
    </xdr:sp>
    <xdr:clientData/>
  </xdr:twoCellAnchor>
  <xdr:twoCellAnchor>
    <xdr:from>
      <xdr:col>30</xdr:col>
      <xdr:colOff>190500</xdr:colOff>
      <xdr:row>16</xdr:row>
      <xdr:rowOff>100852</xdr:rowOff>
    </xdr:from>
    <xdr:to>
      <xdr:col>34</xdr:col>
      <xdr:colOff>123265</xdr:colOff>
      <xdr:row>17</xdr:row>
      <xdr:rowOff>33618</xdr:rowOff>
    </xdr:to>
    <xdr:cxnSp macro="">
      <xdr:nvCxnSpPr>
        <xdr:cNvPr id="8" name="Straight Arrow Connector 7">
          <a:extLst>
            <a:ext uri="{FF2B5EF4-FFF2-40B4-BE49-F238E27FC236}">
              <a16:creationId xmlns:a16="http://schemas.microsoft.com/office/drawing/2014/main" id="{01D45AD7-B827-4874-AAE1-1539CBEDD095}"/>
            </a:ext>
          </a:extLst>
        </xdr:cNvPr>
        <xdr:cNvCxnSpPr/>
      </xdr:nvCxnSpPr>
      <xdr:spPr bwMode="auto">
        <a:xfrm flipV="1">
          <a:off x="12259235" y="2812676"/>
          <a:ext cx="1199030" cy="89648"/>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112059</xdr:colOff>
      <xdr:row>22</xdr:row>
      <xdr:rowOff>123264</xdr:rowOff>
    </xdr:from>
    <xdr:to>
      <xdr:col>29</xdr:col>
      <xdr:colOff>44824</xdr:colOff>
      <xdr:row>24</xdr:row>
      <xdr:rowOff>134471</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62AB7663-666C-4A8F-838A-5AAFC7068A28}"/>
            </a:ext>
          </a:extLst>
        </xdr:cNvPr>
        <xdr:cNvSpPr/>
      </xdr:nvSpPr>
      <xdr:spPr bwMode="auto">
        <a:xfrm>
          <a:off x="9278471" y="3776382"/>
          <a:ext cx="2554941" cy="324971"/>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Click</a:t>
          </a:r>
          <a:r>
            <a:rPr lang="en-US" sz="1100" baseline="0"/>
            <a:t> here to head over to the Explore page.</a:t>
          </a:r>
          <a:endParaRPr lang="en-US" sz="1100"/>
        </a:p>
      </xdr:txBody>
    </xdr:sp>
    <xdr:clientData/>
  </xdr:twoCellAnchor>
  <xdr:twoCellAnchor>
    <xdr:from>
      <xdr:col>24</xdr:col>
      <xdr:colOff>33618</xdr:colOff>
      <xdr:row>36</xdr:row>
      <xdr:rowOff>44823</xdr:rowOff>
    </xdr:from>
    <xdr:to>
      <xdr:col>35</xdr:col>
      <xdr:colOff>459441</xdr:colOff>
      <xdr:row>45</xdr:row>
      <xdr:rowOff>78441</xdr:rowOff>
    </xdr:to>
    <xdr:sp macro="" textlink="">
      <xdr:nvSpPr>
        <xdr:cNvPr id="10" name="Rectangle 9">
          <a:extLst>
            <a:ext uri="{FF2B5EF4-FFF2-40B4-BE49-F238E27FC236}">
              <a16:creationId xmlns:a16="http://schemas.microsoft.com/office/drawing/2014/main" id="{D3E6AE19-9BBD-4974-8126-09896806378B}"/>
            </a:ext>
          </a:extLst>
        </xdr:cNvPr>
        <xdr:cNvSpPr/>
      </xdr:nvSpPr>
      <xdr:spPr bwMode="auto">
        <a:xfrm>
          <a:off x="10320618" y="5894294"/>
          <a:ext cx="3978088" cy="1445559"/>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As we explore new acres, we need to build our land too.</a:t>
          </a:r>
        </a:p>
        <a:p>
          <a:pPr algn="l"/>
          <a:endParaRPr lang="en-US" sz="1100"/>
        </a:p>
        <a:p>
          <a:pPr algn="l"/>
          <a:r>
            <a:rPr lang="en-US" sz="1100"/>
            <a:t>All of these numbers correspond to the acres we explored or the daily land bonuses we took.</a:t>
          </a:r>
        </a:p>
        <a:p>
          <a:pPr algn="l"/>
          <a:endParaRPr lang="en-US" sz="1100"/>
        </a:p>
        <a:p>
          <a:pPr algn="l"/>
          <a:r>
            <a:rPr lang="en-US" sz="1100"/>
            <a:t>As</a:t>
          </a:r>
          <a:r>
            <a:rPr lang="en-US" sz="1100" baseline="0"/>
            <a:t> you can see at Hour 39, we built those acres from our land bonus an hour late, so the Barren Plains column shows a surplus 20 acres for that hour until we built it Hour 40</a:t>
          </a:r>
          <a:endParaRPr lang="en-US" sz="1100"/>
        </a:p>
      </xdr:txBody>
    </xdr:sp>
    <xdr:clientData/>
  </xdr:twoCellAnchor>
  <xdr:twoCellAnchor>
    <xdr:from>
      <xdr:col>20</xdr:col>
      <xdr:colOff>145677</xdr:colOff>
      <xdr:row>50</xdr:row>
      <xdr:rowOff>44823</xdr:rowOff>
    </xdr:from>
    <xdr:to>
      <xdr:col>31</xdr:col>
      <xdr:colOff>190501</xdr:colOff>
      <xdr:row>54</xdr:row>
      <xdr:rowOff>89647</xdr:rowOff>
    </xdr:to>
    <xdr:sp macro="" textlink="">
      <xdr:nvSpPr>
        <xdr:cNvPr id="11" name="Rectangle 10">
          <a:extLst>
            <a:ext uri="{FF2B5EF4-FFF2-40B4-BE49-F238E27FC236}">
              <a16:creationId xmlns:a16="http://schemas.microsoft.com/office/drawing/2014/main" id="{865EFA39-9651-4803-B56A-87A5A4259D01}"/>
            </a:ext>
          </a:extLst>
        </xdr:cNvPr>
        <xdr:cNvSpPr/>
      </xdr:nvSpPr>
      <xdr:spPr bwMode="auto">
        <a:xfrm>
          <a:off x="9312089" y="8090647"/>
          <a:ext cx="3227294" cy="672353"/>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Since we need to train hour 61, smithies must be in construction no later than hour 49. You can keep track of these important hours by noting the grey highlights.</a:t>
          </a:r>
        </a:p>
      </xdr:txBody>
    </xdr:sp>
    <xdr:clientData/>
  </xdr:twoCellAnchor>
  <xdr:twoCellAnchor>
    <xdr:from>
      <xdr:col>6</xdr:col>
      <xdr:colOff>381001</xdr:colOff>
      <xdr:row>41</xdr:row>
      <xdr:rowOff>78443</xdr:rowOff>
    </xdr:from>
    <xdr:to>
      <xdr:col>24</xdr:col>
      <xdr:colOff>44824</xdr:colOff>
      <xdr:row>42</xdr:row>
      <xdr:rowOff>67235</xdr:rowOff>
    </xdr:to>
    <xdr:cxnSp macro="">
      <xdr:nvCxnSpPr>
        <xdr:cNvPr id="13" name="Straight Arrow Connector 12">
          <a:extLst>
            <a:ext uri="{FF2B5EF4-FFF2-40B4-BE49-F238E27FC236}">
              <a16:creationId xmlns:a16="http://schemas.microsoft.com/office/drawing/2014/main" id="{2E29F650-109E-4DCA-9E00-AC36E48A8F91}"/>
            </a:ext>
          </a:extLst>
        </xdr:cNvPr>
        <xdr:cNvCxnSpPr/>
      </xdr:nvCxnSpPr>
      <xdr:spPr bwMode="auto">
        <a:xfrm flipH="1" flipV="1">
          <a:off x="4101354" y="6712325"/>
          <a:ext cx="6230470" cy="145675"/>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15</xdr:col>
      <xdr:colOff>257735</xdr:colOff>
      <xdr:row>42</xdr:row>
      <xdr:rowOff>78441</xdr:rowOff>
    </xdr:from>
    <xdr:to>
      <xdr:col>24</xdr:col>
      <xdr:colOff>11206</xdr:colOff>
      <xdr:row>44</xdr:row>
      <xdr:rowOff>100853</xdr:rowOff>
    </xdr:to>
    <xdr:cxnSp macro="">
      <xdr:nvCxnSpPr>
        <xdr:cNvPr id="15" name="Straight Arrow Connector 14">
          <a:extLst>
            <a:ext uri="{FF2B5EF4-FFF2-40B4-BE49-F238E27FC236}">
              <a16:creationId xmlns:a16="http://schemas.microsoft.com/office/drawing/2014/main" id="{A07F529A-44FB-482B-A5B8-496B1FA01AB3}"/>
            </a:ext>
          </a:extLst>
        </xdr:cNvPr>
        <xdr:cNvCxnSpPr/>
      </xdr:nvCxnSpPr>
      <xdr:spPr bwMode="auto">
        <a:xfrm flipH="1" flipV="1">
          <a:off x="7978588" y="6869206"/>
          <a:ext cx="2319618" cy="336176"/>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224117</xdr:colOff>
      <xdr:row>56</xdr:row>
      <xdr:rowOff>56029</xdr:rowOff>
    </xdr:from>
    <xdr:to>
      <xdr:col>33</xdr:col>
      <xdr:colOff>134471</xdr:colOff>
      <xdr:row>58</xdr:row>
      <xdr:rowOff>78442</xdr:rowOff>
    </xdr:to>
    <xdr:sp macro="" textlink="">
      <xdr:nvSpPr>
        <xdr:cNvPr id="19" name="Rectangle 18">
          <a:hlinkClick xmlns:r="http://schemas.openxmlformats.org/officeDocument/2006/relationships" r:id="rId3"/>
          <a:extLst>
            <a:ext uri="{FF2B5EF4-FFF2-40B4-BE49-F238E27FC236}">
              <a16:creationId xmlns:a16="http://schemas.microsoft.com/office/drawing/2014/main" id="{8AB01BC7-4152-40BE-81DA-384AE39E4478}"/>
            </a:ext>
          </a:extLst>
        </xdr:cNvPr>
        <xdr:cNvSpPr/>
      </xdr:nvSpPr>
      <xdr:spPr bwMode="auto">
        <a:xfrm>
          <a:off x="9390529" y="9043147"/>
          <a:ext cx="3653118" cy="336177"/>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ctr"/>
          <a:r>
            <a:rPr lang="en-US" sz="1100"/>
            <a:t>Time to train! Click here to check out the Military page again.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347382</xdr:colOff>
      <xdr:row>10</xdr:row>
      <xdr:rowOff>44824</xdr:rowOff>
    </xdr:from>
    <xdr:to>
      <xdr:col>25</xdr:col>
      <xdr:colOff>347382</xdr:colOff>
      <xdr:row>14</xdr:row>
      <xdr:rowOff>89647</xdr:rowOff>
    </xdr:to>
    <xdr:sp macro="" textlink="">
      <xdr:nvSpPr>
        <xdr:cNvPr id="2" name="Rectangle 1">
          <a:extLst>
            <a:ext uri="{FF2B5EF4-FFF2-40B4-BE49-F238E27FC236}">
              <a16:creationId xmlns:a16="http://schemas.microsoft.com/office/drawing/2014/main" id="{3E2543CD-A63B-4D41-A54C-797C93812746}"/>
            </a:ext>
          </a:extLst>
        </xdr:cNvPr>
        <xdr:cNvSpPr/>
      </xdr:nvSpPr>
      <xdr:spPr bwMode="auto">
        <a:xfrm>
          <a:off x="11530853" y="1647265"/>
          <a:ext cx="2913529" cy="672353"/>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Exploring is how we grow in protection and in the sim it works the same as the Construction</a:t>
          </a:r>
          <a:r>
            <a:rPr lang="en-US" sz="1100" baseline="0"/>
            <a:t> page. Any acres you explore will appear as barren 12 hours later, just like in the game.</a:t>
          </a:r>
          <a:endParaRPr lang="en-US" sz="1100"/>
        </a:p>
      </xdr:txBody>
    </xdr:sp>
    <xdr:clientData/>
  </xdr:twoCellAnchor>
  <xdr:twoCellAnchor>
    <xdr:from>
      <xdr:col>20</xdr:col>
      <xdr:colOff>224117</xdr:colOff>
      <xdr:row>18</xdr:row>
      <xdr:rowOff>123264</xdr:rowOff>
    </xdr:from>
    <xdr:to>
      <xdr:col>26</xdr:col>
      <xdr:colOff>257735</xdr:colOff>
      <xdr:row>23</xdr:row>
      <xdr:rowOff>44823</xdr:rowOff>
    </xdr:to>
    <xdr:sp macro="" textlink="">
      <xdr:nvSpPr>
        <xdr:cNvPr id="3" name="Rectangle 2">
          <a:extLst>
            <a:ext uri="{FF2B5EF4-FFF2-40B4-BE49-F238E27FC236}">
              <a16:creationId xmlns:a16="http://schemas.microsoft.com/office/drawing/2014/main" id="{C5423BAB-A9E8-4BDE-B63F-73FC22C2F415}"/>
            </a:ext>
          </a:extLst>
        </xdr:cNvPr>
        <xdr:cNvSpPr/>
      </xdr:nvSpPr>
      <xdr:spPr bwMode="auto">
        <a:xfrm>
          <a:off x="11867029" y="2980764"/>
          <a:ext cx="2924735" cy="705971"/>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I started by exploring 29 acres at hour 13</a:t>
          </a:r>
          <a:r>
            <a:rPr lang="en-US" sz="1100" baseline="0"/>
            <a:t> above.</a:t>
          </a:r>
        </a:p>
        <a:p>
          <a:pPr algn="l"/>
          <a:endParaRPr lang="en-US" sz="1100" baseline="0"/>
        </a:p>
        <a:p>
          <a:pPr algn="l"/>
          <a:r>
            <a:rPr lang="en-US" sz="1100"/>
            <a:t>11 hours later I explored a bunch more before my costs went up.</a:t>
          </a:r>
        </a:p>
      </xdr:txBody>
    </xdr:sp>
    <xdr:clientData/>
  </xdr:twoCellAnchor>
  <xdr:twoCellAnchor>
    <xdr:from>
      <xdr:col>19</xdr:col>
      <xdr:colOff>358588</xdr:colOff>
      <xdr:row>15</xdr:row>
      <xdr:rowOff>145676</xdr:rowOff>
    </xdr:from>
    <xdr:to>
      <xdr:col>20</xdr:col>
      <xdr:colOff>224117</xdr:colOff>
      <xdr:row>19</xdr:row>
      <xdr:rowOff>44824</xdr:rowOff>
    </xdr:to>
    <xdr:cxnSp macro="">
      <xdr:nvCxnSpPr>
        <xdr:cNvPr id="5" name="Straight Arrow Connector 4">
          <a:extLst>
            <a:ext uri="{FF2B5EF4-FFF2-40B4-BE49-F238E27FC236}">
              <a16:creationId xmlns:a16="http://schemas.microsoft.com/office/drawing/2014/main" id="{D43E9C15-36B0-4273-BA88-1D8ABA91753A}"/>
            </a:ext>
          </a:extLst>
        </xdr:cNvPr>
        <xdr:cNvCxnSpPr/>
      </xdr:nvCxnSpPr>
      <xdr:spPr bwMode="auto">
        <a:xfrm flipH="1" flipV="1">
          <a:off x="11542059" y="2532529"/>
          <a:ext cx="324970" cy="526677"/>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19</xdr:col>
      <xdr:colOff>347382</xdr:colOff>
      <xdr:row>23</xdr:row>
      <xdr:rowOff>44823</xdr:rowOff>
    </xdr:from>
    <xdr:to>
      <xdr:col>20</xdr:col>
      <xdr:colOff>425823</xdr:colOff>
      <xdr:row>25</xdr:row>
      <xdr:rowOff>145677</xdr:rowOff>
    </xdr:to>
    <xdr:cxnSp macro="">
      <xdr:nvCxnSpPr>
        <xdr:cNvPr id="8" name="Straight Arrow Connector 7">
          <a:extLst>
            <a:ext uri="{FF2B5EF4-FFF2-40B4-BE49-F238E27FC236}">
              <a16:creationId xmlns:a16="http://schemas.microsoft.com/office/drawing/2014/main" id="{B61D5635-6CD7-4228-A2FA-22A65F178411}"/>
            </a:ext>
          </a:extLst>
        </xdr:cNvPr>
        <xdr:cNvCxnSpPr/>
      </xdr:nvCxnSpPr>
      <xdr:spPr bwMode="auto">
        <a:xfrm flipH="1">
          <a:off x="11530853" y="3686735"/>
          <a:ext cx="537882" cy="414618"/>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21</xdr:col>
      <xdr:colOff>112059</xdr:colOff>
      <xdr:row>23</xdr:row>
      <xdr:rowOff>56029</xdr:rowOff>
    </xdr:from>
    <xdr:to>
      <xdr:col>21</xdr:col>
      <xdr:colOff>515470</xdr:colOff>
      <xdr:row>26</xdr:row>
      <xdr:rowOff>22412</xdr:rowOff>
    </xdr:to>
    <xdr:cxnSp macro="">
      <xdr:nvCxnSpPr>
        <xdr:cNvPr id="10" name="Straight Arrow Connector 9">
          <a:extLst>
            <a:ext uri="{FF2B5EF4-FFF2-40B4-BE49-F238E27FC236}">
              <a16:creationId xmlns:a16="http://schemas.microsoft.com/office/drawing/2014/main" id="{A9387816-4C5F-4D48-83D3-E1873BFE07F6}"/>
            </a:ext>
          </a:extLst>
        </xdr:cNvPr>
        <xdr:cNvCxnSpPr/>
      </xdr:nvCxnSpPr>
      <xdr:spPr bwMode="auto">
        <a:xfrm>
          <a:off x="12225618" y="3697941"/>
          <a:ext cx="403411" cy="437030"/>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280147</xdr:colOff>
      <xdr:row>36</xdr:row>
      <xdr:rowOff>123266</xdr:rowOff>
    </xdr:from>
    <xdr:to>
      <xdr:col>25</xdr:col>
      <xdr:colOff>33618</xdr:colOff>
      <xdr:row>40</xdr:row>
      <xdr:rowOff>100854</xdr:rowOff>
    </xdr:to>
    <xdr:sp macro="" textlink="">
      <xdr:nvSpPr>
        <xdr:cNvPr id="11" name="Rectangle 10">
          <a:extLst>
            <a:ext uri="{FF2B5EF4-FFF2-40B4-BE49-F238E27FC236}">
              <a16:creationId xmlns:a16="http://schemas.microsoft.com/office/drawing/2014/main" id="{EFC767D5-746A-47C6-8B38-CB2AA5A7A5E4}"/>
            </a:ext>
          </a:extLst>
        </xdr:cNvPr>
        <xdr:cNvSpPr/>
      </xdr:nvSpPr>
      <xdr:spPr bwMode="auto">
        <a:xfrm>
          <a:off x="11923059" y="5804648"/>
          <a:ext cx="2207559" cy="605118"/>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11</a:t>
          </a:r>
          <a:r>
            <a:rPr lang="en-US" sz="1100" baseline="0"/>
            <a:t> hours after that I was back to exploring, finishing up the acres needed to reach my goal of 600</a:t>
          </a:r>
          <a:endParaRPr lang="en-US" sz="1100"/>
        </a:p>
      </xdr:txBody>
    </xdr:sp>
    <xdr:clientData/>
  </xdr:twoCellAnchor>
  <xdr:twoCellAnchor>
    <xdr:from>
      <xdr:col>12</xdr:col>
      <xdr:colOff>526676</xdr:colOff>
      <xdr:row>35</xdr:row>
      <xdr:rowOff>67235</xdr:rowOff>
    </xdr:from>
    <xdr:to>
      <xdr:col>15</xdr:col>
      <xdr:colOff>605117</xdr:colOff>
      <xdr:row>40</xdr:row>
      <xdr:rowOff>56029</xdr:rowOff>
    </xdr:to>
    <xdr:sp macro="" textlink="">
      <xdr:nvSpPr>
        <xdr:cNvPr id="12" name="Rectangle 11">
          <a:extLst>
            <a:ext uri="{FF2B5EF4-FFF2-40B4-BE49-F238E27FC236}">
              <a16:creationId xmlns:a16="http://schemas.microsoft.com/office/drawing/2014/main" id="{BBB16917-7E71-496B-98D8-43CB7B173B05}"/>
            </a:ext>
          </a:extLst>
        </xdr:cNvPr>
        <xdr:cNvSpPr/>
      </xdr:nvSpPr>
      <xdr:spPr bwMode="auto">
        <a:xfrm>
          <a:off x="7317441" y="5591735"/>
          <a:ext cx="2364441" cy="773206"/>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Daily land bonuses are taken the same was the platinum bonus. Enter a "1" in the leftmost</a:t>
          </a:r>
          <a:r>
            <a:rPr lang="en-US" sz="1100" baseline="0"/>
            <a:t> column whenever you wish to take your bonus for that day.</a:t>
          </a:r>
          <a:endParaRPr lang="en-US" sz="1100"/>
        </a:p>
      </xdr:txBody>
    </xdr:sp>
    <xdr:clientData/>
  </xdr:twoCellAnchor>
  <xdr:twoCellAnchor>
    <xdr:from>
      <xdr:col>15</xdr:col>
      <xdr:colOff>605117</xdr:colOff>
      <xdr:row>26</xdr:row>
      <xdr:rowOff>134470</xdr:rowOff>
    </xdr:from>
    <xdr:to>
      <xdr:col>18</xdr:col>
      <xdr:colOff>78441</xdr:colOff>
      <xdr:row>36</xdr:row>
      <xdr:rowOff>33618</xdr:rowOff>
    </xdr:to>
    <xdr:cxnSp macro="">
      <xdr:nvCxnSpPr>
        <xdr:cNvPr id="14" name="Straight Arrow Connector 13">
          <a:extLst>
            <a:ext uri="{FF2B5EF4-FFF2-40B4-BE49-F238E27FC236}">
              <a16:creationId xmlns:a16="http://schemas.microsoft.com/office/drawing/2014/main" id="{A66A5C1A-418C-45F0-87EF-2085D8C246D9}"/>
            </a:ext>
          </a:extLst>
        </xdr:cNvPr>
        <xdr:cNvCxnSpPr/>
      </xdr:nvCxnSpPr>
      <xdr:spPr bwMode="auto">
        <a:xfrm flipV="1">
          <a:off x="9681882" y="4247029"/>
          <a:ext cx="1199030" cy="1467971"/>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15</xdr:col>
      <xdr:colOff>605117</xdr:colOff>
      <xdr:row>36</xdr:row>
      <xdr:rowOff>156882</xdr:rowOff>
    </xdr:from>
    <xdr:to>
      <xdr:col>18</xdr:col>
      <xdr:colOff>78441</xdr:colOff>
      <xdr:row>41</xdr:row>
      <xdr:rowOff>67235</xdr:rowOff>
    </xdr:to>
    <xdr:cxnSp macro="">
      <xdr:nvCxnSpPr>
        <xdr:cNvPr id="16" name="Straight Arrow Connector 15">
          <a:extLst>
            <a:ext uri="{FF2B5EF4-FFF2-40B4-BE49-F238E27FC236}">
              <a16:creationId xmlns:a16="http://schemas.microsoft.com/office/drawing/2014/main" id="{7828F23F-52AC-4B68-8A58-F51088AB750F}"/>
            </a:ext>
          </a:extLst>
        </xdr:cNvPr>
        <xdr:cNvCxnSpPr/>
      </xdr:nvCxnSpPr>
      <xdr:spPr bwMode="auto">
        <a:xfrm>
          <a:off x="9681882" y="5838264"/>
          <a:ext cx="1199030" cy="694765"/>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15</xdr:col>
      <xdr:colOff>605117</xdr:colOff>
      <xdr:row>37</xdr:row>
      <xdr:rowOff>140073</xdr:rowOff>
    </xdr:from>
    <xdr:to>
      <xdr:col>18</xdr:col>
      <xdr:colOff>112058</xdr:colOff>
      <xdr:row>51</xdr:row>
      <xdr:rowOff>78441</xdr:rowOff>
    </xdr:to>
    <xdr:cxnSp macro="">
      <xdr:nvCxnSpPr>
        <xdr:cNvPr id="19" name="Straight Arrow Connector 18">
          <a:extLst>
            <a:ext uri="{FF2B5EF4-FFF2-40B4-BE49-F238E27FC236}">
              <a16:creationId xmlns:a16="http://schemas.microsoft.com/office/drawing/2014/main" id="{E93759E5-3699-4875-9A2D-F6014AB432ED}"/>
            </a:ext>
          </a:extLst>
        </xdr:cNvPr>
        <xdr:cNvCxnSpPr>
          <a:stCxn id="12" idx="3"/>
        </xdr:cNvCxnSpPr>
      </xdr:nvCxnSpPr>
      <xdr:spPr bwMode="auto">
        <a:xfrm>
          <a:off x="9681882" y="5978338"/>
          <a:ext cx="1232647" cy="2134721"/>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369794</xdr:colOff>
      <xdr:row>46</xdr:row>
      <xdr:rowOff>100853</xdr:rowOff>
    </xdr:from>
    <xdr:to>
      <xdr:col>25</xdr:col>
      <xdr:colOff>268941</xdr:colOff>
      <xdr:row>50</xdr:row>
      <xdr:rowOff>22412</xdr:rowOff>
    </xdr:to>
    <xdr:sp macro="" textlink="">
      <xdr:nvSpPr>
        <xdr:cNvPr id="20" name="Rectangle 19">
          <a:hlinkClick xmlns:r="http://schemas.openxmlformats.org/officeDocument/2006/relationships" r:id="rId1"/>
          <a:extLst>
            <a:ext uri="{FF2B5EF4-FFF2-40B4-BE49-F238E27FC236}">
              <a16:creationId xmlns:a16="http://schemas.microsoft.com/office/drawing/2014/main" id="{DEEDA569-4621-4524-A2F9-EEED1D5439DA}"/>
            </a:ext>
          </a:extLst>
        </xdr:cNvPr>
        <xdr:cNvSpPr/>
      </xdr:nvSpPr>
      <xdr:spPr bwMode="auto">
        <a:xfrm>
          <a:off x="12012706" y="7351059"/>
          <a:ext cx="2353235" cy="549088"/>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As</a:t>
          </a:r>
          <a:r>
            <a:rPr lang="en-US" sz="1100" baseline="0"/>
            <a:t> we explore we'll also need to build our land. Let's head back to the Construction page by clicking here.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33617</xdr:colOff>
      <xdr:row>4</xdr:row>
      <xdr:rowOff>78441</xdr:rowOff>
    </xdr:from>
    <xdr:to>
      <xdr:col>17</xdr:col>
      <xdr:colOff>425823</xdr:colOff>
      <xdr:row>11</xdr:row>
      <xdr:rowOff>100852</xdr:rowOff>
    </xdr:to>
    <xdr:sp macro="" textlink="">
      <xdr:nvSpPr>
        <xdr:cNvPr id="2" name="Rectangle 1">
          <a:extLst>
            <a:ext uri="{FF2B5EF4-FFF2-40B4-BE49-F238E27FC236}">
              <a16:creationId xmlns:a16="http://schemas.microsoft.com/office/drawing/2014/main" id="{C6318DAC-13FB-4238-8FE8-A100C2555CD4}"/>
            </a:ext>
          </a:extLst>
        </xdr:cNvPr>
        <xdr:cNvSpPr/>
      </xdr:nvSpPr>
      <xdr:spPr bwMode="auto">
        <a:xfrm>
          <a:off x="5289176" y="739588"/>
          <a:ext cx="3440206" cy="1120588"/>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baseline="0"/>
            <a:t>In the real game you can't build on land you don't have so we need to make sure our landtypes match our buildings.</a:t>
          </a:r>
        </a:p>
        <a:p>
          <a:pPr algn="l"/>
          <a:endParaRPr lang="en-US" sz="1100" baseline="0"/>
        </a:p>
        <a:p>
          <a:pPr algn="l"/>
          <a:r>
            <a:rPr lang="en-US" sz="1100" baseline="0"/>
            <a:t>Here we've overbuilt by 25 hill and 15 swamp so we need to rezone a bit. Positive numbers are land you are rezoning TO and negative numbers are land you're rezoning FROM.</a:t>
          </a:r>
          <a:endParaRPr lang="en-US" sz="1100"/>
        </a:p>
      </xdr:txBody>
    </xdr:sp>
    <xdr:clientData/>
  </xdr:twoCellAnchor>
  <xdr:twoCellAnchor>
    <xdr:from>
      <xdr:col>12</xdr:col>
      <xdr:colOff>403412</xdr:colOff>
      <xdr:row>12</xdr:row>
      <xdr:rowOff>56029</xdr:rowOff>
    </xdr:from>
    <xdr:to>
      <xdr:col>16</xdr:col>
      <xdr:colOff>78442</xdr:colOff>
      <xdr:row>14</xdr:row>
      <xdr:rowOff>78441</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59EB67D0-028A-49AA-A1A6-E4AA9FD544B9}"/>
            </a:ext>
          </a:extLst>
        </xdr:cNvPr>
        <xdr:cNvSpPr/>
      </xdr:nvSpPr>
      <xdr:spPr bwMode="auto">
        <a:xfrm>
          <a:off x="6118412" y="1972235"/>
          <a:ext cx="1725706" cy="336177"/>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Next up is Military. Click here.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31</xdr:col>
      <xdr:colOff>526676</xdr:colOff>
      <xdr:row>4</xdr:row>
      <xdr:rowOff>44824</xdr:rowOff>
    </xdr:from>
    <xdr:to>
      <xdr:col>37</xdr:col>
      <xdr:colOff>347382</xdr:colOff>
      <xdr:row>13</xdr:row>
      <xdr:rowOff>0</xdr:rowOff>
    </xdr:to>
    <xdr:sp macro="" textlink="">
      <xdr:nvSpPr>
        <xdr:cNvPr id="2" name="Rectangle 1">
          <a:extLst>
            <a:ext uri="{FF2B5EF4-FFF2-40B4-BE49-F238E27FC236}">
              <a16:creationId xmlns:a16="http://schemas.microsoft.com/office/drawing/2014/main" id="{62377EF0-532A-4DF6-ABE3-BC910D561C06}"/>
            </a:ext>
          </a:extLst>
        </xdr:cNvPr>
        <xdr:cNvSpPr/>
      </xdr:nvSpPr>
      <xdr:spPr bwMode="auto">
        <a:xfrm>
          <a:off x="18545735" y="896471"/>
          <a:ext cx="4101353" cy="1367117"/>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Only two things to do here</a:t>
          </a:r>
          <a:r>
            <a:rPr lang="en-US" sz="1100" baseline="0"/>
            <a:t> until much later. First you can release troops over there on the right.</a:t>
          </a:r>
        </a:p>
        <a:p>
          <a:pPr algn="l"/>
          <a:endParaRPr lang="en-US" sz="1100" baseline="0"/>
        </a:p>
        <a:p>
          <a:pPr algn="l"/>
          <a:r>
            <a:rPr lang="en-US" sz="1100" baseline="0"/>
            <a:t>Then you can set your draft rate by typing in this column on the left.</a:t>
          </a:r>
        </a:p>
        <a:p>
          <a:pPr algn="l"/>
          <a:endParaRPr lang="en-US" sz="1100" baseline="0"/>
        </a:p>
        <a:p>
          <a:pPr algn="l"/>
          <a:r>
            <a:rPr lang="en-US" sz="1100" baseline="0"/>
            <a:t>In this example we've releashed our Archers for more draftees and set our draft rate to 90%</a:t>
          </a:r>
          <a:endParaRPr lang="en-US" sz="1100"/>
        </a:p>
      </xdr:txBody>
    </xdr:sp>
    <xdr:clientData/>
  </xdr:twoCellAnchor>
  <xdr:twoCellAnchor>
    <xdr:from>
      <xdr:col>37</xdr:col>
      <xdr:colOff>347382</xdr:colOff>
      <xdr:row>3</xdr:row>
      <xdr:rowOff>78441</xdr:rowOff>
    </xdr:from>
    <xdr:to>
      <xdr:col>48</xdr:col>
      <xdr:colOff>291353</xdr:colOff>
      <xdr:row>5</xdr:row>
      <xdr:rowOff>78442</xdr:rowOff>
    </xdr:to>
    <xdr:cxnSp macro="">
      <xdr:nvCxnSpPr>
        <xdr:cNvPr id="4" name="Straight Arrow Connector 3">
          <a:extLst>
            <a:ext uri="{FF2B5EF4-FFF2-40B4-BE49-F238E27FC236}">
              <a16:creationId xmlns:a16="http://schemas.microsoft.com/office/drawing/2014/main" id="{CD962278-99AA-477A-BD27-DFEB77DA564D}"/>
            </a:ext>
          </a:extLst>
        </xdr:cNvPr>
        <xdr:cNvCxnSpPr/>
      </xdr:nvCxnSpPr>
      <xdr:spPr bwMode="auto">
        <a:xfrm flipV="1">
          <a:off x="22647088" y="773206"/>
          <a:ext cx="7776883" cy="313765"/>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23</xdr:col>
      <xdr:colOff>268941</xdr:colOff>
      <xdr:row>3</xdr:row>
      <xdr:rowOff>100853</xdr:rowOff>
    </xdr:from>
    <xdr:to>
      <xdr:col>31</xdr:col>
      <xdr:colOff>526676</xdr:colOff>
      <xdr:row>8</xdr:row>
      <xdr:rowOff>100854</xdr:rowOff>
    </xdr:to>
    <xdr:cxnSp macro="">
      <xdr:nvCxnSpPr>
        <xdr:cNvPr id="6" name="Straight Arrow Connector 5">
          <a:extLst>
            <a:ext uri="{FF2B5EF4-FFF2-40B4-BE49-F238E27FC236}">
              <a16:creationId xmlns:a16="http://schemas.microsoft.com/office/drawing/2014/main" id="{956E5372-7BF9-4619-BCDC-730A3A67B49E}"/>
            </a:ext>
          </a:extLst>
        </xdr:cNvPr>
        <xdr:cNvCxnSpPr>
          <a:stCxn id="2" idx="1"/>
        </xdr:cNvCxnSpPr>
      </xdr:nvCxnSpPr>
      <xdr:spPr bwMode="auto">
        <a:xfrm flipH="1" flipV="1">
          <a:off x="14242676" y="795618"/>
          <a:ext cx="4303059" cy="784412"/>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32</xdr:col>
      <xdr:colOff>672354</xdr:colOff>
      <xdr:row>14</xdr:row>
      <xdr:rowOff>1</xdr:rowOff>
    </xdr:from>
    <xdr:to>
      <xdr:col>35</xdr:col>
      <xdr:colOff>179295</xdr:colOff>
      <xdr:row>16</xdr:row>
      <xdr:rowOff>22413</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B0DA6FA8-89B6-4ED8-B4F0-C182069D45EE}"/>
            </a:ext>
          </a:extLst>
        </xdr:cNvPr>
        <xdr:cNvSpPr/>
      </xdr:nvSpPr>
      <xdr:spPr bwMode="auto">
        <a:xfrm>
          <a:off x="19431001" y="2420472"/>
          <a:ext cx="1725706" cy="336176"/>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Now we move on to Magic!</a:t>
          </a:r>
        </a:p>
      </xdr:txBody>
    </xdr:sp>
    <xdr:clientData/>
  </xdr:twoCellAnchor>
  <xdr:twoCellAnchor>
    <xdr:from>
      <xdr:col>33</xdr:col>
      <xdr:colOff>526677</xdr:colOff>
      <xdr:row>65</xdr:row>
      <xdr:rowOff>56030</xdr:rowOff>
    </xdr:from>
    <xdr:to>
      <xdr:col>38</xdr:col>
      <xdr:colOff>0</xdr:colOff>
      <xdr:row>71</xdr:row>
      <xdr:rowOff>44824</xdr:rowOff>
    </xdr:to>
    <xdr:sp macro="" textlink="">
      <xdr:nvSpPr>
        <xdr:cNvPr id="8" name="Rectangle 7">
          <a:extLst>
            <a:ext uri="{FF2B5EF4-FFF2-40B4-BE49-F238E27FC236}">
              <a16:creationId xmlns:a16="http://schemas.microsoft.com/office/drawing/2014/main" id="{51ADC82E-A134-42DB-9354-92A0F2C49604}"/>
            </a:ext>
          </a:extLst>
        </xdr:cNvPr>
        <xdr:cNvSpPr/>
      </xdr:nvSpPr>
      <xdr:spPr bwMode="auto">
        <a:xfrm>
          <a:off x="20024912" y="10477501"/>
          <a:ext cx="3059206" cy="930088"/>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Time for our</a:t>
          </a:r>
          <a:r>
            <a:rPr lang="en-US" sz="1100" baseline="0"/>
            <a:t> units. Remember that just like buildings and exploration, units take time to train so we need elites (units 3 and 4), spies and wizards in training by hour 61 and specialists (units 1 and 2) in training by hour 64 so they're finished in time for OOP.</a:t>
          </a:r>
          <a:endParaRPr lang="en-US" sz="1100"/>
        </a:p>
      </xdr:txBody>
    </xdr:sp>
    <xdr:clientData/>
  </xdr:twoCellAnchor>
  <xdr:twoCellAnchor>
    <xdr:from>
      <xdr:col>34</xdr:col>
      <xdr:colOff>190500</xdr:colOff>
      <xdr:row>71</xdr:row>
      <xdr:rowOff>134469</xdr:rowOff>
    </xdr:from>
    <xdr:to>
      <xdr:col>37</xdr:col>
      <xdr:colOff>403412</xdr:colOff>
      <xdr:row>74</xdr:row>
      <xdr:rowOff>67233</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FC1903CD-E4A2-4A54-9DCC-53074DFFEE1E}"/>
            </a:ext>
          </a:extLst>
        </xdr:cNvPr>
        <xdr:cNvSpPr/>
      </xdr:nvSpPr>
      <xdr:spPr bwMode="auto">
        <a:xfrm>
          <a:off x="20428324" y="11497234"/>
          <a:ext cx="2274794" cy="403411"/>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Click here to head over to the Overview page to see how we'll</a:t>
          </a:r>
          <a:r>
            <a:rPr lang="en-US" sz="1100" baseline="0"/>
            <a:t> look OOP.</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280147</xdr:colOff>
      <xdr:row>12</xdr:row>
      <xdr:rowOff>67237</xdr:rowOff>
    </xdr:from>
    <xdr:to>
      <xdr:col>17</xdr:col>
      <xdr:colOff>168088</xdr:colOff>
      <xdr:row>30</xdr:row>
      <xdr:rowOff>78443</xdr:rowOff>
    </xdr:to>
    <xdr:sp macro="" textlink="">
      <xdr:nvSpPr>
        <xdr:cNvPr id="2" name="Rectangle 1">
          <a:extLst>
            <a:ext uri="{FF2B5EF4-FFF2-40B4-BE49-F238E27FC236}">
              <a16:creationId xmlns:a16="http://schemas.microsoft.com/office/drawing/2014/main" id="{045FCA42-6F5C-4198-9911-3B7AC1E3E7EE}"/>
            </a:ext>
          </a:extLst>
        </xdr:cNvPr>
        <xdr:cNvSpPr/>
      </xdr:nvSpPr>
      <xdr:spPr bwMode="auto">
        <a:xfrm>
          <a:off x="6947647" y="2162737"/>
          <a:ext cx="3922059" cy="2835088"/>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Notice how we're finally not typing</a:t>
          </a:r>
          <a:r>
            <a:rPr lang="en-US" sz="1100" baseline="0"/>
            <a:t> in row 1.</a:t>
          </a:r>
        </a:p>
        <a:p>
          <a:pPr algn="l"/>
          <a:endParaRPr lang="en-US" sz="1100" baseline="0"/>
        </a:p>
        <a:p>
          <a:pPr algn="l"/>
          <a:r>
            <a:rPr lang="en-US" sz="1100" baseline="0"/>
            <a:t>Up until now everything we've done has been setting up the very first hour but now we can expanda  bit.</a:t>
          </a:r>
        </a:p>
        <a:p>
          <a:pPr algn="l"/>
          <a:endParaRPr lang="en-US" sz="1100" baseline="0"/>
        </a:p>
        <a:p>
          <a:pPr algn="l"/>
          <a:r>
            <a:rPr lang="en-US" sz="1100" baseline="0"/>
            <a:t>With 15 towers we'll be able to cast our first spell, Harmony, at hour 14. We typed a "1" in cell K17 which corresponds to hour 14 and Harmony to "cast" the spell.</a:t>
          </a:r>
        </a:p>
        <a:p>
          <a:pPr algn="l"/>
          <a:endParaRPr lang="en-US" sz="1100" baseline="0"/>
        </a:p>
        <a:p>
          <a:pPr algn="l"/>
          <a:r>
            <a:rPr lang="en-US" sz="1100" baseline="0"/>
            <a:t>For convenience I like to cast every spell at the beginning so I don't forget them later and we use the same method each time.</a:t>
          </a:r>
        </a:p>
        <a:p>
          <a:pPr algn="l"/>
          <a:endParaRPr lang="en-US" sz="1100" baseline="0"/>
        </a:p>
        <a:p>
          <a:pPr algn="l"/>
          <a:r>
            <a:rPr lang="en-US" sz="1100" baseline="0"/>
            <a:t>If you don't have enough mana you'll notice the mana column turn red. In the game you can't spend resources you don't have so make sure you stay positive!</a:t>
          </a:r>
        </a:p>
        <a:p>
          <a:pPr algn="l"/>
          <a:endParaRPr lang="en-US" sz="1100"/>
        </a:p>
      </xdr:txBody>
    </xdr:sp>
    <xdr:clientData/>
  </xdr:twoCellAnchor>
  <xdr:twoCellAnchor>
    <xdr:from>
      <xdr:col>10</xdr:col>
      <xdr:colOff>459441</xdr:colOff>
      <xdr:row>16</xdr:row>
      <xdr:rowOff>67236</xdr:rowOff>
    </xdr:from>
    <xdr:to>
      <xdr:col>11</xdr:col>
      <xdr:colOff>291353</xdr:colOff>
      <xdr:row>19</xdr:row>
      <xdr:rowOff>151282</xdr:rowOff>
    </xdr:to>
    <xdr:cxnSp macro="">
      <xdr:nvCxnSpPr>
        <xdr:cNvPr id="4" name="Straight Arrow Connector 3">
          <a:extLst>
            <a:ext uri="{FF2B5EF4-FFF2-40B4-BE49-F238E27FC236}">
              <a16:creationId xmlns:a16="http://schemas.microsoft.com/office/drawing/2014/main" id="{484163B2-57FC-4E6A-9694-571AE400FF46}"/>
            </a:ext>
          </a:extLst>
        </xdr:cNvPr>
        <xdr:cNvCxnSpPr/>
      </xdr:nvCxnSpPr>
      <xdr:spPr bwMode="auto">
        <a:xfrm flipH="1" flipV="1">
          <a:off x="6454588" y="2790265"/>
          <a:ext cx="504265" cy="554693"/>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12</xdr:col>
      <xdr:colOff>336177</xdr:colOff>
      <xdr:row>31</xdr:row>
      <xdr:rowOff>89647</xdr:rowOff>
    </xdr:from>
    <xdr:to>
      <xdr:col>15</xdr:col>
      <xdr:colOff>425824</xdr:colOff>
      <xdr:row>35</xdr:row>
      <xdr:rowOff>67235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788C98FE-B595-4DC0-B079-ECDD14368D1D}"/>
            </a:ext>
          </a:extLst>
        </xdr:cNvPr>
        <xdr:cNvSpPr/>
      </xdr:nvSpPr>
      <xdr:spPr bwMode="auto">
        <a:xfrm>
          <a:off x="7676030" y="5165912"/>
          <a:ext cx="2106706" cy="605117"/>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We're finally done with hour 1! Yay!</a:t>
          </a:r>
        </a:p>
        <a:p>
          <a:pPr algn="l"/>
          <a:r>
            <a:rPr lang="en-US" sz="1100"/>
            <a:t>Lets move on to the meat of the sim over on the Construction page.</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8" totalsRowDxfId="80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6" totalsRowDxfId="80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4" totalsRowDxfId="803">
      <calculatedColumnFormula>ROUND(TblPop[[#This Row],[Raw Birth]]*(1+TblPop[[#This Row],[Growth]]),0)</calculatedColumnFormula>
    </tableColumn>
    <tableColumn id="25" xr3:uid="{26E60E7F-6DA3-49EF-99E8-26A0DAD2D630}" name="Raw Birth" dataDxfId="802" totalsRowDxfId="801">
      <calculatedColumnFormula>(TblPop[[#This Row],[Peasants]]-TblPop[[#This Row],[Draft Growth]])*raw_pop_growth</calculatedColumnFormula>
    </tableColumn>
    <tableColumn id="26" xr3:uid="{6E1274BE-772F-4747-A295-D51601B4FE11}" name="Draft Growth" dataDxfId="800" totalsRowDxfId="799">
      <calculatedColumnFormula>IF(TblPop[[#This Row],[Military%]]&lt;TblMili[[#This Row],[Draftrate]],ROUND(TblPop[[#This Row],[Peasants]]*Constants!$B$53,0), 0)</calculatedColumnFormula>
    </tableColumn>
    <tableColumn id="27" xr3:uid="{858CE2A0-AC9E-46FE-9A70-AED1578889CB}" name="...." dataDxfId="798" totalsRowDxfId="797"/>
    <tableColumn id="28" xr3:uid="{B271B9C7-94D1-498F-9FBB-69DF5F1BCE3F}" name="Growth" dataDxfId="796" totalsRowDxfId="79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4" totalsRowDxfId="79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4" dataDxfId="782" headerRowBorderDxfId="783" tableBorderDxfId="781">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0"/>
    <tableColumn id="2" xr3:uid="{A509F8BB-FCD1-4951-8F3F-2AE2B32FB91D}" name="Time" dataDxfId="779">
      <calculatedColumnFormula>TblImps[[#This Row],[Time]]</calculatedColumnFormula>
    </tableColumn>
    <tableColumn id="3" xr3:uid="{BD173BCD-6C73-484D-BDFC-2CBFE8B32234}" name="Plat Bonus" dataDxfId="778"/>
    <tableColumn id="4" xr3:uid="{9A9B3DEC-EBEC-4801-BF4F-F90BBBCDF331}" name="." dataDxfId="777"/>
    <tableColumn id="5" xr3:uid="{6F9B5905-FA1D-4099-B9CC-6BE237355D58}" name="Land" dataDxfId="776">
      <calculatedColumnFormula>TblConstr[[#This Row],[Land]]</calculatedColumnFormula>
    </tableColumn>
    <tableColumn id="6" xr3:uid="{5ADA8DA4-36DC-4D4F-AE4E-76BDD26AF270}" name="Peasants" dataDxfId="775">
      <calculatedColumnFormula>TblPop[[#This Row],[Peasants]]</calculatedColumnFormula>
    </tableColumn>
    <tableColumn id="7" xr3:uid="{EE7F0FC7-4D30-4144-88EE-9A05AD7BF609}" name="Networth" dataDxfId="774">
      <calculatedColumnFormula>TblMili[[#This Row],[Networth (2)]]</calculatedColumnFormula>
    </tableColumn>
    <tableColumn id="8" xr3:uid="{F7B8E7A7-7AD4-4D83-8297-946670C39E55}" name="Platinum" dataDxfId="773">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2">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1">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0">
      <calculatedColumnFormula>OFFSET(TblProd[[#This Row],[Mana]],-1,0)+OFFSET(TblProd[[#This Row],[Mana/hr]],-1,0)- TblProd[[#This Row],[Expenses Mana]]</calculatedColumnFormula>
    </tableColumn>
    <tableColumn id="12" xr3:uid="{C80C4246-7273-429F-BE79-86B1B4181061}" name="Ore" dataDxfId="769">
      <calculatedColumnFormula>OFFSET(TblProd[[#This Row],[Ore]],-1,0)+OFFSET(TblProd[[#This Row],[Ore/hr]],-1,0) -TblProd[[#This Row],[Expenses Ore]]</calculatedColumnFormula>
    </tableColumn>
    <tableColumn id="13" xr3:uid="{4174B9D9-5881-42F2-A514-2A7372C2B486}" name="Gems" dataDxfId="768">
      <calculatedColumnFormula>OFFSET(TblProd[[#This Row],[Gems]],-1,0)+OFFSET(TblProd[[#This Row],[Gems/hr]],-1,0) - TblProd[[#This Row],[Expenses Gems]]</calculatedColumnFormula>
    </tableColumn>
    <tableColumn id="14" xr3:uid="{C9DF5508-173B-4E9B-BD32-3313FC0AECA9}" name="Boats" dataDxfId="767">
      <calculatedColumnFormula>OFFSET(TblProd[[#This Row],[Boats]],-1,0)+OFFSET(TblProd[[#This Row],[Boats/hr]],-1,0)</calculatedColumnFormula>
    </tableColumn>
    <tableColumn id="15" xr3:uid="{C2EE37F5-4C79-4BD9-BE97-5B3BBB490CD3}" name="Prestige" dataDxfId="766">
      <calculatedColumnFormula>OFFSET(TblProd[[#This Row],[Prestige]],-1,0)</calculatedColumnFormula>
    </tableColumn>
    <tableColumn id="16" xr3:uid="{5EEA2772-71AB-4FF8-BF5F-D1D5B4044943}" name="Techpoints" dataDxfId="765">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4"/>
    <tableColumn id="18" xr3:uid="{BC60D6AE-146D-440E-93B9-050DE2CAED7A}" name=".." dataDxfId="763"/>
    <tableColumn id="19" xr3:uid="{F7A6187F-1DDE-45C0-B221-8BA0937C4E35}" name="Plat/hr" dataDxfId="762">
      <calculatedColumnFormula>ROUNDDOWN(TblProd[[#This Row],[Raw Plat/hr]]*(1+TblProd[[#This Row],[Bonus Plat/hr]]),0)</calculatedColumnFormula>
    </tableColumn>
    <tableColumn id="20" xr3:uid="{EBA5F35A-607A-475E-9357-98AF551D44A6}" name="Food/hr" dataDxfId="761">
      <calculatedColumnFormula>ROUND(TblProd[[#This Row],[Raw Food/hr]]*(1+TblProd[[#This Row],[Bonus Food/hr]])-TblProd[[#This Row],[Food decay]]-TblProd[[#This Row],[Food eaten]],0)</calculatedColumnFormula>
    </tableColumn>
    <tableColumn id="21" xr3:uid="{D75AA2A6-F107-4144-8A7D-4BE575236288}" name="Lumber/hr" dataDxfId="760">
      <calculatedColumnFormula>ROUND(TblProd[[#This Row],[Raw Lumber/hr]]*(1+TblProd[[#This Row],[Bonus Lumber/hr]])-TblProd[[#This Row],[Lumber rot]],0)</calculatedColumnFormula>
    </tableColumn>
    <tableColumn id="22" xr3:uid="{4AA82FE8-7AD6-4F9E-B8A1-627CE2E70CE0}" name="Mana/hr" dataDxfId="759">
      <calculatedColumnFormula>ROUND(TblProd[[#This Row],[Raw Mana/hr]]*(1+TblProd[[#This Row],[Bonus Mana/hr]])-TblProd[[#This Row],[Mana drain]],0)</calculatedColumnFormula>
    </tableColumn>
    <tableColumn id="23" xr3:uid="{86A49F4B-CDA3-4B61-B4D9-8830178E715E}" name="Ore/hr" dataDxfId="758">
      <calculatedColumnFormula>ROUNDDOWN(TblProd[[#This Row],[Raw Ore/hr]]*(1+TblProd[[#This Row],[Bonux Ore/hr]]),0)</calculatedColumnFormula>
    </tableColumn>
    <tableColumn id="24" xr3:uid="{F7C3BCF1-3F12-4405-8E19-ED1B9D20D049}" name="Gems/hr" dataDxfId="757">
      <calculatedColumnFormula>ROUNDDOWN(TblProd[[#This Row],[Raw Gems/hr]]*(1+TblProd[[#This Row],[Bonus Gems/hr]]),0)</calculatedColumnFormula>
    </tableColumn>
    <tableColumn id="25" xr3:uid="{E754A630-9007-4F8A-A8B7-C56609E09275}" name="Boats/hr" dataDxfId="756">
      <calculatedColumnFormula>OFFSET(TblConstr[[#This Row],[Tot Doc]],1,0)*dock_boats_hr * (1 + tech_4_1*TblTech[[#This Row],[4-1]])</calculatedColumnFormula>
    </tableColumn>
    <tableColumn id="26" xr3:uid="{8666710D-F3A4-4016-AA32-8D95B9BFFE3D}" name="…" dataDxfId="755"/>
    <tableColumn id="27" xr3:uid="{BE5DAA3C-8D26-4E0F-87D4-E9FE3E149040}" name="Raw Plat/hr" dataDxfId="754">
      <calculatedColumnFormula>TblPop[[#This Row],[Peasants]]*tax*TblPop[[#This Row],[Employment]] + (Construction!AZ5+Construction!BX5)*(alch_plat+(Magic!AL4&gt;0)*alchemist_flame_bonus)</calculatedColumnFormula>
    </tableColumn>
    <tableColumn id="28" xr3:uid="{72437831-3C94-4E01-9B66-637CE9F1FC37}" name="Raw Food/hr" dataDxfId="753">
      <calculatedColumnFormula>TblConstr[[#This Row],[Tot Farm]]*farm_food + TblConstr[[#This Row],[Tot Doc]]*dock_food</calculatedColumnFormula>
    </tableColumn>
    <tableColumn id="29" xr3:uid="{6327048A-17B4-47F0-A6D6-4DF606F8872E}" name="Raw Lumber/hr" dataDxfId="752">
      <calculatedColumnFormula>TblConstr[[#This Row],[Tot Ly]]*ly_lumber + TblConstr[[#This Row],[Tot Hav]]*fh_lumber</calculatedColumnFormula>
    </tableColumn>
    <tableColumn id="30" xr3:uid="{9564EF02-956D-4988-B195-94F7CC0C966B}" name="Raw Mana/hr" dataDxfId="751">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8" totalsRowDxfId="61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6" totalsRowDxfId="61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4" totalsRowDxfId="613">
      <calculatedColumnFormula>TblConstr[[#This Row],[build -db]]*TblConstr[[#This Row],[CPA Platinum -DB]] + TblConstr[[#This Row],[build db]]*TblConstr[[#This Row],[CPA Platinum DB]]</calculatedColumnFormula>
    </tableColumn>
    <tableColumn id="43" xr3:uid="{F2E3CBCF-A243-4043-87E8-17546293A159}" name="Total Lum Cost" dataDxfId="612" totalsRowDxfId="611">
      <calculatedColumnFormula>TblConstr[[#This Row],[build -db]]*TblConstr[[#This Row],[CPA Lumber -DB]]+TblConstr[[#This Row],[build db]]*TblConstr[[#This Row],[CPA Lumber DB]]</calculatedColumnFormula>
    </tableColumn>
    <tableColumn id="44" xr3:uid="{119F0A26-AFE5-4C99-86DF-E2019D697B1F}" name="build -db" dataDxfId="610" totalsRowDxfId="60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8" totalsRowDxfId="60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6" totalsRowDxfId="605"/>
    <tableColumn id="47" xr3:uid="{2AB27BA8-C2B6-44FC-89D1-B8C469C03A31}" name="RCPA Platinum " dataDxfId="604" totalsRowDxfId="603">
      <calculatedColumnFormula>ROUND((MAX(TblConstr[[#This Row],[Buildings]],250,0.75*TblConstr[[#This Row],[Land]])-250) * 1.53 + 850,0)</calculatedColumnFormula>
    </tableColumn>
    <tableColumn id="48" xr3:uid="{745E4D31-3689-4F62-A15B-2D5399E746CA}" name="RCPA Lumber" dataDxfId="602" totalsRowDxfId="601">
      <calculatedColumnFormula>ROUND((MAX(TblConstr[[#This Row],[Buildings]],250,0.75*TblConstr[[#This Row],[Land]])-250) * 0.35+87.5,0)</calculatedColumnFormula>
    </tableColumn>
    <tableColumn id="49" xr3:uid="{619C112A-EE5A-4710-AF52-5843FF4DB054}" name="…" dataDxfId="600" totalsRowDxfId="599"/>
    <tableColumn id="50" xr3:uid="{F2846ED2-FD2C-4B82-8D89-DEC4D6C89C45}" name="Tot Hom" dataDxfId="598" totalsRowDxfId="597">
      <calculatedColumnFormula array="1">IF(TblConstr[[#This Row],[Hour]:[Hour]]&gt;12,OFFSET(TblConstr[[#This Row],[Hom]],-12,0),0)+OFFSET(TblConstr[[#This Row],[Tot Hom]],-1,0)-TblConstr[[#This Row],[Dest Hom]]</calculatedColumnFormula>
    </tableColumn>
    <tableColumn id="51" xr3:uid="{3A820279-E5AD-460C-8EA2-56927C664532}" name="Tot Alc" dataDxfId="596" totalsRowDxfId="595">
      <calculatedColumnFormula array="1">IF(TblConstr[[#This Row],[Hour]:[Hour]]&gt;12,OFFSET(TblConstr[[#This Row],[Alc]],-12,0),0)+OFFSET(TblConstr[[#This Row],[Tot Alc]],-1,0)-TblConstr[[#This Row],[Dest Alc]]</calculatedColumnFormula>
    </tableColumn>
    <tableColumn id="52" xr3:uid="{2F201F1F-E604-470C-A21C-EF43882A5460}" name="Tot Farm" dataDxfId="594" totalsRowDxfId="593">
      <calculatedColumnFormula array="1">IF(TblConstr[[#This Row],[Hour]:[Hour]]&gt;12,OFFSET(TblConstr[[#This Row],[Far]],-12,0),0)+OFFSET(TblConstr[[#This Row],[Tot Farm]],-1,0)-TblConstr[[#This Row],[Dest Farm]]</calculatedColumnFormula>
    </tableColumn>
    <tableColumn id="53" xr3:uid="{CF25F1ED-4CEE-4702-9FD7-472555CAE1E7}" name="Tot Smi" dataDxfId="592" totalsRowDxfId="591">
      <calculatedColumnFormula array="1">IF(TblConstr[[#This Row],[Hour]:[Hour]]&gt;12,OFFSET(TblConstr[[#This Row],[Smi]],-12,0),0)+OFFSET(TblConstr[[#This Row],[Tot Smi]],-1,0)-TblConstr[[#This Row],[Dest Smi]]</calculatedColumnFormula>
    </tableColumn>
    <tableColumn id="54" xr3:uid="{AA2380E5-3483-49DB-91B7-F7447D6C17A7}" name="Tot Mas" dataDxfId="590" totalsRowDxfId="589">
      <calculatedColumnFormula array="1">IF(TblConstr[[#This Row],[Hour]:[Hour]]&gt;12,OFFSET(TblConstr[[#This Row],[Mas]],-12,0),0)+OFFSET(TblConstr[[#This Row],[Tot Mas]],-1,0)-TblConstr[[#This Row],[Dest Mas]]</calculatedColumnFormula>
    </tableColumn>
    <tableColumn id="55" xr3:uid="{9983477D-EC22-4053-88C9-D53436C89351}" name="Tot Ly" dataDxfId="588" totalsRowDxfId="587">
      <calculatedColumnFormula array="1">IF(TblConstr[[#This Row],[Hour]:[Hour]]&gt;12,OFFSET(TblConstr[[#This Row],[Ly]],-12,0),0)+OFFSET(TblConstr[[#This Row],[Tot Ly]],-1,0)-TblConstr[[#This Row],[Dest Ly]]</calculatedColumnFormula>
    </tableColumn>
    <tableColumn id="56" xr3:uid="{0A8A610F-D674-4772-9EB7-EC610164DF60}" name="Tot Hav" dataDxfId="586" totalsRowDxfId="585">
      <calculatedColumnFormula array="1">IF(TblConstr[[#This Row],[Hour]:[Hour]]&gt;12,OFFSET(TblConstr[[#This Row],[Hav]],-12,0),0)+OFFSET(TblConstr[[#This Row],[Tot Hav]],-1,0)-TblConstr[[#This Row],[Dest Hav]]</calculatedColumnFormula>
    </tableColumn>
    <tableColumn id="57" xr3:uid="{40570349-3AA5-42B4-9820-CC736C2D1B3D}" name="Tot OM" dataDxfId="584" totalsRowDxfId="583">
      <calculatedColumnFormula array="1">IF(TblConstr[[#This Row],[Hour]:[Hour]]&gt;12,OFFSET(TblConstr[[#This Row],[OM]],-12,0),0)+OFFSET(TblConstr[[#This Row],[Tot OM]],-1,0)-TblConstr[[#This Row],[Dest OM]]</calculatedColumnFormula>
    </tableColumn>
    <tableColumn id="58" xr3:uid="{D7C1895E-C93F-4CEE-BB20-88F13C3DA864}" name="Tot GN" dataDxfId="582" totalsRowDxfId="581">
      <calculatedColumnFormula array="1">IF(TblConstr[[#This Row],[Hour]:[Hour]]&gt;12,OFFSET(TblConstr[[#This Row],[GN]],-12,0),0)+OFFSET(TblConstr[[#This Row],[Tot GN]],-1,0)-TblConstr[[#This Row],[Dest GN]]</calculatedColumnFormula>
    </tableColumn>
    <tableColumn id="59" xr3:uid="{6C106580-CB33-4C2F-8B4D-856AC68AA85B}" name="Tot Fac" dataDxfId="580" totalsRowDxfId="579">
      <calculatedColumnFormula array="1">IF(TblConstr[[#This Row],[Hour]:[Hour]]&gt;12,OFFSET(TblConstr[[#This Row],[Fac]],-12,0),0)+OFFSET(TblConstr[[#This Row],[Tot Fac]],-1,0)-TblConstr[[#This Row],[Dest Fac]]</calculatedColumnFormula>
    </tableColumn>
    <tableColumn id="60" xr3:uid="{D3A39C76-EE6D-4C40-B64E-12EE496ACF75}" name="Tot GT" dataDxfId="578" totalsRowDxfId="577">
      <calculatedColumnFormula array="1">IF(TblConstr[[#This Row],[Hour]:[Hour]]&gt;12,OFFSET(TblConstr[[#This Row],[GT]],-12,0),0)+OFFSET(TblConstr[[#This Row],[Tot GT]],-1,0)-TblConstr[[#This Row],[Dest GT]]</calculatedColumnFormula>
    </tableColumn>
    <tableColumn id="61" xr3:uid="{3C88629E-DBB8-4626-8826-42DE21B8CCF3}" name="Tot Bar" dataDxfId="576" totalsRowDxfId="575">
      <calculatedColumnFormula array="1">IF(TblConstr[[#This Row],[Hour]:[Hour]]&gt;12,OFFSET(TblConstr[[#This Row],[Bar]],-12,0),0)+OFFSET(TblConstr[[#This Row],[Tot Bar]],-1,0)-TblConstr[[#This Row],[Dest Bar]]</calculatedColumnFormula>
    </tableColumn>
    <tableColumn id="62" xr3:uid="{9B339DEA-0599-4758-9D02-2BCE3EA7ACC3}" name="Tot Shr" dataDxfId="574" totalsRowDxfId="573">
      <calculatedColumnFormula array="1">IF(TblConstr[[#This Row],[Hour]:[Hour]]&gt;12,OFFSET(TblConstr[[#This Row],[Shr]],-12,0),0)+OFFSET(TblConstr[[#This Row],[Tot Shr]],-1,0)-TblConstr[[#This Row],[Dest Shr]]</calculatedColumnFormula>
    </tableColumn>
    <tableColumn id="63" xr3:uid="{BC8AAD30-881D-4FF0-9567-7FF1D9791913}" name="Tot Tow" dataDxfId="572" totalsRowDxfId="571">
      <calculatedColumnFormula array="1">IF(TblConstr[[#This Row],[Hour]:[Hour]]&gt;12,OFFSET(TblConstr[[#This Row],[Tow]],-12,0),0)+OFFSET(TblConstr[[#This Row],[Tot Tow]],-1,0)-TblConstr[[#This Row],[Dest Tow]]</calculatedColumnFormula>
    </tableColumn>
    <tableColumn id="64" xr3:uid="{59A3F80D-5052-4FDF-AF65-62DB182FD6A6}" name="Tot Tem" dataDxfId="570" totalsRowDxfId="569">
      <calculatedColumnFormula array="1">IF(TblConstr[[#This Row],[Hour]:[Hour]]&gt;12,OFFSET(TblConstr[[#This Row],[Tem]],-12,0),0)+OFFSET(TblConstr[[#This Row],[Tot Tem]],-1,0)-TblConstr[[#This Row],[Dest Tem]]</calculatedColumnFormula>
    </tableColumn>
    <tableColumn id="65" xr3:uid="{00A352BB-E75B-4E3F-AC3D-1D0DC0813148}" name="Tot WG" dataDxfId="568" totalsRowDxfId="567">
      <calculatedColumnFormula array="1">IF(TblConstr[[#This Row],[Hour]:[Hour]]&gt;12,OFFSET(TblConstr[[#This Row],[WG]],-12,0),0)+OFFSET(TblConstr[[#This Row],[Tot WG]],-1,0)-TblConstr[[#This Row],[Dest WG]]</calculatedColumnFormula>
    </tableColumn>
    <tableColumn id="66" xr3:uid="{AC79E3B7-8BF6-4AEF-AACC-9BCCADEEE9EC}" name="Tot DM" dataDxfId="566" totalsRowDxfId="565">
      <calculatedColumnFormula array="1">IF(TblConstr[[#This Row],[Hour]:[Hour]]&gt;12,OFFSET(TblConstr[[#This Row],[DM]],-12,0),0)+OFFSET(TblConstr[[#This Row],[Tot DM]],-1,0)-TblConstr[[#This Row],[Dest DM]]</calculatedColumnFormula>
    </tableColumn>
    <tableColumn id="67" xr3:uid="{0CFFF054-0F8D-4B14-9366-77ABD3382DE4}" name="Tot Sch" dataDxfId="564" totalsRowDxfId="563">
      <calculatedColumnFormula array="1">IF(TblConstr[[#This Row],[Hour]:[Hour]]&gt;12,OFFSET(TblConstr[[#This Row],[Sch]],-12,0),0)+OFFSET(TblConstr[[#This Row],[Tot Sch]],-1,0)-TblConstr[[#This Row],[Dest Sch]]</calculatedColumnFormula>
    </tableColumn>
    <tableColumn id="68" xr3:uid="{EEBD7864-CCF1-4E52-A4D7-93474D156483}" name="Tot Doc" dataDxfId="562" totalsRowDxfId="561">
      <calculatedColumnFormula array="1">IF(TblConstr[[#This Row],[Hour]:[Hour]]&gt;12,OFFSET(TblConstr[[#This Row],[Doc]],-12,0),0)+OFFSET(TblConstr[[#This Row],[Tot Doc]],-1,0)-TblConstr[[#This Row],[Dest Doc]]</calculatedColumnFormula>
    </tableColumn>
    <tableColumn id="69" xr3:uid="{9CB7D1EC-8231-4E29-AF89-78480EAACCBE}" name="…." dataDxfId="560" totalsRowDxfId="559"/>
    <tableColumn id="70" xr3:uid="{8AB60EC6-2503-4C64-93B5-EF0A15817646}" name="….." dataDxfId="558" totalsRowDxfId="557"/>
    <tableColumn id="71" xr3:uid="{E322C618-2AF7-4E39-8C00-05DB78D1E3E1}" name="Land (2)" dataDxfId="556" totalsRowDxfId="555">
      <calculatedColumnFormula>TblConstr[[#This Row],[Land]]</calculatedColumnFormula>
    </tableColumn>
    <tableColumn id="72" xr3:uid="{03634B5C-154E-4AC8-80E1-BA13BC9D96CD}" name="Time (2)" dataDxfId="554" totalsRowDxfId="553">
      <calculatedColumnFormula>TblImps[[#This Row],[Time]]</calculatedColumnFormula>
    </tableColumn>
    <tableColumn id="73" xr3:uid="{B2BF9056-6EBE-4C01-A8BD-B72B49E563E4}" name="…..." dataDxfId="552" totalsRowDxfId="551"/>
    <tableColumn id="74" xr3:uid="{E1DF0DF3-108E-4B1D-AD0D-B0438E0119B4}" name="Dest Hom" dataDxfId="550" totalsRowDxfId="549"/>
    <tableColumn id="75" xr3:uid="{E9A56C16-CD83-4CF4-801D-3F07F7F4410E}" name="Dest Alc" dataDxfId="548" totalsRowDxfId="547"/>
    <tableColumn id="76" xr3:uid="{83CFBDA2-FADE-4B08-B33E-9C2E9F9BF768}" name="Dest Farm" dataDxfId="546" totalsRowDxfId="545"/>
    <tableColumn id="77" xr3:uid="{19187257-0444-44F4-9D3D-6D0323F40019}" name="Dest Smi" dataDxfId="544" totalsRowDxfId="543"/>
    <tableColumn id="78" xr3:uid="{868AFE18-6FA1-48AB-ABF5-2F2AEFE5F988}" name="Dest Mas" dataDxfId="542" totalsRowDxfId="541"/>
    <tableColumn id="79" xr3:uid="{177B6B53-2F11-4209-8387-13A45749227F}" name="Dest Ly" dataDxfId="540" totalsRowDxfId="539"/>
    <tableColumn id="80" xr3:uid="{7546C506-76A9-4C40-A0E7-9A9D9E5AABE5}" name="Dest Hav" dataDxfId="538" totalsRowDxfId="537"/>
    <tableColumn id="81" xr3:uid="{ADDB86A6-E781-4DBE-8117-6F690916DDFA}" name="Dest OM" dataDxfId="536" totalsRowDxfId="535"/>
    <tableColumn id="82" xr3:uid="{B9BF98EC-18BF-465D-9531-8B38D89E91A0}" name="Dest GN" dataDxfId="534" totalsRowDxfId="533"/>
    <tableColumn id="83" xr3:uid="{E7A6D253-F3B2-42C8-99DD-B144C58FC0C5}" name="Dest Fac" dataDxfId="532" totalsRowDxfId="531"/>
    <tableColumn id="84" xr3:uid="{17104BBD-FC27-4D10-B29C-0273D3241FF4}" name="Dest GT" dataDxfId="530" totalsRowDxfId="529"/>
    <tableColumn id="85" xr3:uid="{99559D62-4D78-440A-98FE-DEBB129B435F}" name="Dest Bar" dataDxfId="528" totalsRowDxfId="527"/>
    <tableColumn id="86" xr3:uid="{9B2EEB8C-2FE8-47EE-A3E2-DC10DB45C7AB}" name="Dest Shr" dataDxfId="526" totalsRowDxfId="525"/>
    <tableColumn id="87" xr3:uid="{514D2AAA-E6E3-475E-9F65-8C732A78896D}" name="Dest Tow" dataDxfId="524" totalsRowDxfId="523"/>
    <tableColumn id="88" xr3:uid="{FAB7F148-62FD-4A01-9E52-E72AB5D98A80}" name="Dest Tem" dataDxfId="522" totalsRowDxfId="521"/>
    <tableColumn id="89" xr3:uid="{51F0AAF8-EA25-41BB-8274-29128D8E9309}" name="Dest WG" dataDxfId="520" totalsRowDxfId="519"/>
    <tableColumn id="90" xr3:uid="{B5DD0E4A-F9DA-46DF-AC1D-4C082F96D4FD}" name="Dest DM" dataDxfId="518" totalsRowDxfId="517"/>
    <tableColumn id="91" xr3:uid="{8374E536-FAFB-4695-B2E9-40E6A61A9D8E}" name="Dest Sch" dataDxfId="516" totalsRowDxfId="515"/>
    <tableColumn id="92" xr3:uid="{AB6E075B-E076-40E6-B2ED-7DBD5C2545B9}" name="Dest Doc" dataDxfId="514" totalsRowDxfId="513"/>
    <tableColumn id="93" xr3:uid="{A4B6EEF5-D4D4-4B9E-B020-F892CB1DC5F1}" name="…...." dataDxfId="512" totalsRowDxfId="511"/>
    <tableColumn id="94" xr3:uid="{A8785F66-A063-4182-BB5F-F2E489C44B8C}" name="Ch_Plain" dataDxfId="510" totalsRowDxfId="50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8" totalsRowDxfId="50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6" totalsRowDxfId="50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4" totalsRowDxfId="50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2" totalsRowDxfId="50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0" totalsRowDxfId="49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8" totalsRowDxfId="49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6" totalsRowDxfId="495">
      <calculatedColumnFormula>IF(Explore!S4=1,20) - TblConstr[[#This Row],[Hom]] + TblConstr[[#This Row],[Dest Hom]]</calculatedColumnFormula>
    </tableColumn>
    <tableColumn id="102" xr3:uid="{A18B5339-7B5E-4FF1-B44C-54D91E2619B1}" name="…....." dataDxfId="494" totalsRowDxfId="493"/>
    <tableColumn id="103" xr3:uid="{4E3EEDB6-D8CB-4DA1-AC9F-29019C9A6FFC}" name="Total Plain" dataDxfId="492" totalsRowDxfId="491"/>
    <tableColumn id="104" xr3:uid="{669C7BA0-B3F2-47DA-B10D-81C2466FF6F3}" name="Total Forest" dataDxfId="490" totalsRowDxfId="489"/>
    <tableColumn id="105" xr3:uid="{B6EE778A-6E52-44FF-8691-B86F1650C2C2}" name="Total Mountain" dataDxfId="488" totalsRowDxfId="487"/>
    <tableColumn id="106" xr3:uid="{5FF89BD6-7921-4110-AD96-EA8B54555F1C}" name="Total Hill" dataDxfId="486" totalsRowDxfId="485"/>
    <tableColumn id="107" xr3:uid="{F920559E-5C73-4899-BC53-A9BA9E7DFC0C}" name="Total Swamp" dataDxfId="484" totalsRowDxfId="483"/>
    <tableColumn id="108" xr3:uid="{6462BCCF-F375-4DEC-B000-637E1187AA5E}" name="Total Cavern" dataDxfId="482" totalsRowDxfId="481"/>
    <tableColumn id="109" xr3:uid="{D966B8E0-E2CD-4374-AF05-B86C330B3BD4}" name="Total Water" dataDxfId="480" totalsRowDxfId="479"/>
    <tableColumn id="110" xr3:uid="{170A4E12-F563-448F-8964-EB5CA71BA3AF}" name="Homeland" dataDxfId="478" totalsRowDxfId="47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6" totalsRowDxfId="475"/>
    <tableColumn id="114" xr3:uid="{EDC1B5E1-1E93-4946-BEC7-453EF5B18C9F}" name="Farms" dataDxfId="474" totalsRowDxfId="473">
      <calculatedColumnFormula>MAX(BA4-BA3,0)</calculatedColumnFormula>
    </tableColumn>
    <tableColumn id="115" xr3:uid="{1D02A65C-E8F6-4B66-A5EB-3699A9BE61C5}" name="Docks" totalsRowFunction="sum" dataDxfId="472" totalsRowDxfId="47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2" dataDxfId="461" tableBorderDxfId="46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9">
      <calculatedColumnFormula>TblRezone[[#This Row],[Hour]]</calculatedColumnFormula>
    </tableColumn>
    <tableColumn id="2" xr3:uid="{DFB120B6-BC70-4091-A005-99D4961CB538}" name="Land" dataDxfId="458">
      <calculatedColumnFormula>TblConstr[[#This Row],[Land]]</calculatedColumnFormula>
    </tableColumn>
    <tableColumn id="3" xr3:uid="{05C32193-1764-4A8E-B877-789E51BD1927}" name="." dataDxfId="457"/>
    <tableColumn id="4" xr3:uid="{2DBA3229-29BD-4F1F-B6CD-9E822C9071D7}" name="Plains" dataDxfId="456">
      <calculatedColumnFormula>TblConstr[[#This Row],[Plain]]</calculatedColumnFormula>
    </tableColumn>
    <tableColumn id="5" xr3:uid="{3D1FE633-D61E-4157-92AE-5E68F0C48770}" name="Forest" dataDxfId="455">
      <calculatedColumnFormula>TblConstr[[#This Row],[Forest]]</calculatedColumnFormula>
    </tableColumn>
    <tableColumn id="6" xr3:uid="{D9ABEDC6-9211-428A-B587-3CA9C3BF9744}" name="Mountn" dataDxfId="454">
      <calculatedColumnFormula>TblConstr[[#This Row],[Mountain]]</calculatedColumnFormula>
    </tableColumn>
    <tableColumn id="7" xr3:uid="{190BAA64-9D9E-4080-878D-BF035387620E}" name="Hills" dataDxfId="453">
      <calculatedColumnFormula>TblConstr[[#This Row],[Hill]]</calculatedColumnFormula>
    </tableColumn>
    <tableColumn id="8" xr3:uid="{812744CE-DEB7-4A8A-8374-CD5852E8C168}" name="Swamp" dataDxfId="452">
      <calculatedColumnFormula>TblConstr[[#This Row],[Swamp]]</calculatedColumnFormula>
    </tableColumn>
    <tableColumn id="9" xr3:uid="{96D79F63-015A-4655-975B-A1C99185A034}" name="Caverns" dataDxfId="451">
      <calculatedColumnFormula>TblConstr[[#This Row],[Cavern]]</calculatedColumnFormula>
    </tableColumn>
    <tableColumn id="10" xr3:uid="{607DA3E5-8D4A-44F4-A35C-DDAF32BE627C}" name="Water" dataDxfId="450">
      <calculatedColumnFormula>TblConstr[[#This Row],[Water]]</calculatedColumnFormula>
    </tableColumn>
    <tableColumn id="11" xr3:uid="{12EC2AC2-5FD3-4D82-8C37-DB70DCC56DC2}" name="Column2" dataDxfId="449"/>
    <tableColumn id="12" xr3:uid="{B171FE82-C8DE-44A1-89CE-409ED8DDD9D4}" name="Column3" dataDxfId="448"/>
    <tableColumn id="13" xr3:uid="{8C0085EE-E99F-4C98-9D66-144A50E3623C}" name="Column4" dataDxfId="447"/>
    <tableColumn id="14" xr3:uid="{5686D8FB-FF86-4148-AF9E-C03A97A84AF3}" name="Smithies" dataDxfId="446" dataCellStyle="Percent">
      <calculatedColumnFormula>TblMili[[#This Row],[Smithies]]</calculatedColumnFormula>
    </tableColumn>
    <tableColumn id="15" xr3:uid="{A0DC0A41-1987-4EE6-99BA-624DB6ACB9BF}" name="Employm." dataDxfId="445" dataCellStyle="Percent">
      <calculatedColumnFormula>TblPop[[#This Row],[Employment]]</calculatedColumnFormula>
    </tableColumn>
    <tableColumn id="16" xr3:uid="{7B85DEA6-C72D-4EAB-B18F-155B3A80E27B}" name="Popul." dataDxfId="444" dataCellStyle="Percent">
      <calculatedColumnFormula>TblImps[[#This Row],[Population]]</calculatedColumnFormula>
    </tableColumn>
    <tableColumn id="17" xr3:uid="{0BE33934-A790-4489-A3A2-E553E3C4AAEE}" name="Land (2)" dataDxfId="443">
      <calculatedColumnFormula>TblExplore[[#This Row],[Land]]</calculatedColumnFormula>
    </tableColumn>
    <tableColumn id="18" xr3:uid="{1EE849E8-6296-4479-BDA2-30E4622212E0}" name="Hour (2)" dataDxfId="442">
      <calculatedColumnFormula>TblExplore[[#This Row],[Hour]]</calculatedColumnFormula>
    </tableColumn>
    <tableColumn id="19" xr3:uid="{802EC67C-58E0-4E2B-9471-52B76B3F516A}" name="Land Bonus" dataDxfId="441"/>
    <tableColumn id="20" xr3:uid="{B1DC4E54-695A-4FE1-A303-67B047732E38}" name="Plains Explore" dataDxfId="440"/>
    <tableColumn id="21" xr3:uid="{28A63039-E9F4-4C91-BC61-38AFA90CBBA3}" name="Forest Explore" dataDxfId="439"/>
    <tableColumn id="22" xr3:uid="{52A3F218-67B7-4353-9DCD-90E402F80D3A}" name="Mountain Explore" dataDxfId="438"/>
    <tableColumn id="23" xr3:uid="{CADD78BB-1A84-4EF1-B568-74D7A7333BED}" name="Hill Explore" dataDxfId="437"/>
    <tableColumn id="24" xr3:uid="{86B12DCD-5E50-4631-800C-3D06D0C8407F}" name="Swamp Explore" dataDxfId="436"/>
    <tableColumn id="25" xr3:uid="{41A3F8D1-C19F-4B01-A125-BD6C5BE75F1D}" name="Cavern Explore" dataDxfId="435"/>
    <tableColumn id="26" xr3:uid="{DD83E77E-8C71-44A7-BF29-B8595544CC0D}" name="Water Explore" dataDxfId="434"/>
    <tableColumn id="27" xr3:uid="{6F68BDB2-663F-44CE-A108-1184CFBBBFB9}" name="Time" dataDxfId="433">
      <calculatedColumnFormula>TblImps[[#This Row],[Real time]]</calculatedColumnFormula>
    </tableColumn>
    <tableColumn id="28" xr3:uid="{0FBA88C1-4190-4A95-897B-20B88A072234}" name="Draftees" dataDxfId="432">
      <calculatedColumnFormula>TblMili[[#This Row],[Draftees]]</calculatedColumnFormula>
    </tableColumn>
    <tableColumn id="29" xr3:uid="{4EFD1992-02FD-4356-A327-EBEED01908DD}" name="Platinum" dataDxfId="431">
      <calculatedColumnFormula>TblProd[[#This Row],[Platinum]]</calculatedColumnFormula>
    </tableColumn>
    <tableColumn id="30" xr3:uid="{3D9A7B33-B273-4A01-8F7D-822B1BEB344B}" name=".." dataDxfId="430"/>
    <tableColumn id="31" xr3:uid="{EDB0F070-B31D-4B00-90A6-0A190E3CA80B}" name="Land-DB" dataDxfId="429">
      <calculatedColumnFormula>TblExplore[[#This Row],[Land]]-TblExplore[[#This Row],[Land Bonus]]*20</calculatedColumnFormula>
    </tableColumn>
    <tableColumn id="32" xr3:uid="{B94D1074-50E9-44F1-8957-6BE450DE4BF0}" name="Plat/acre" dataDxfId="428">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6">
      <calculatedColumnFormula>SUM(TblExplore[[#This Row],[Plains Explore]:[Water Explore]])*TblExplore[[#This Row],[Plat/acre]]</calculatedColumnFormula>
    </tableColumn>
    <tableColumn id="35" xr3:uid="{61575F8F-5343-43C9-858D-AF8501368779}" name="Draftees (2)" dataDxfId="425">
      <calculatedColumnFormula>SUM(TblExplore[[#This Row],[Plains Explore]:[Water Explore]])*TblExplore[[#This Row],[Draftees/acre]]</calculatedColumnFormula>
    </tableColumn>
    <tableColumn id="36" xr3:uid="{BD4C2C0C-7F81-4BE8-9828-9CFCFFAFF394}" name="Max Explore" dataDxfId="42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4" dataDxfId="413" tableBorderDxfId="41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1">
      <calculatedColumnFormula>TblConstr[[#This Row],[Land]]</calculatedColumnFormula>
    </tableColumn>
    <tableColumn id="2" xr3:uid="{09D3C0EB-2481-406C-ABC2-3B9FE0683D68}" name="Plains" dataDxfId="410">
      <calculatedColumnFormula>TblConstr[[#This Row],[Plain]]</calculatedColumnFormula>
    </tableColumn>
    <tableColumn id="3" xr3:uid="{E95763D4-88E5-487A-9912-CB5FED512375}" name="Forest" dataDxfId="409">
      <calculatedColumnFormula>TblConstr[[#This Row],[Forest]]</calculatedColumnFormula>
    </tableColumn>
    <tableColumn id="4" xr3:uid="{62B2173B-885E-48E7-B615-089739267B8E}" name="Mountains" dataDxfId="408">
      <calculatedColumnFormula>TblConstr[[#This Row],[Mountain]]</calculatedColumnFormula>
    </tableColumn>
    <tableColumn id="5" xr3:uid="{4FA61465-41A2-4497-AB2D-7B63B7113E12}" name="Hills" dataDxfId="407">
      <calculatedColumnFormula>TblConstr[[#This Row],[Hill]]</calculatedColumnFormula>
    </tableColumn>
    <tableColumn id="6" xr3:uid="{FC27A0D5-6BB5-414B-8DEB-98AD07E7EBFF}" name="Swamp" dataDxfId="406">
      <calculatedColumnFormula>TblConstr[[#This Row],[Swamp]]</calculatedColumnFormula>
    </tableColumn>
    <tableColumn id="7" xr3:uid="{E95EDCE9-4D0A-4F4F-80D0-F52A495BDAE2}" name="Caverns" dataDxfId="405">
      <calculatedColumnFormula>TblConstr[[#This Row],[Cavern]]</calculatedColumnFormula>
    </tableColumn>
    <tableColumn id="8" xr3:uid="{4D162EFF-D831-41C8-9A17-B9113296E43B}" name="Water" dataDxfId="404">
      <calculatedColumnFormula>TblConstr[[#This Row],[Water]]</calculatedColumnFormula>
    </tableColumn>
    <tableColumn id="9" xr3:uid="{D55A4201-089D-415F-8D4D-3ECCCB36C63A}" name="." dataDxfId="403"/>
    <tableColumn id="10" xr3:uid="{DD5BAECA-959B-44B4-BFE4-04100EF42CEE}" name="Hour" dataDxfId="402">
      <calculatedColumnFormula>J3+1</calculatedColumnFormula>
    </tableColumn>
    <tableColumn id="11" xr3:uid="{BBC04AC2-481C-43B9-8F7E-DA11BD9865DF}" name="Time" dataDxfId="401">
      <calculatedColumnFormula>TblImps[[#This Row],[Real time]]</calculatedColumnFormula>
    </tableColumn>
    <tableColumn id="12" xr3:uid="{D6C776EF-706C-4E21-B5A7-00C9AD08F8F2}" name="Plains Rezone" dataDxfId="400"/>
    <tableColumn id="13" xr3:uid="{8517A176-425D-4D28-9953-4EC1AA93C82D}" name="Forest Rezone" dataDxfId="399"/>
    <tableColumn id="14" xr3:uid="{6C6986FB-4B34-4620-9F5C-E204CA007C29}" name="Mountain Rezone" dataDxfId="398"/>
    <tableColumn id="15" xr3:uid="{A238C8DA-37C8-4B93-BDB9-803627A51455}" name="Hill Rezone" dataDxfId="397"/>
    <tableColumn id="16" xr3:uid="{6F93D167-46BB-49F9-99E2-4FE4FA89F6F6}" name="Swamp Rezone" dataDxfId="396"/>
    <tableColumn id="17" xr3:uid="{2891557D-037E-43FE-B080-6B5406778FAE}" name="Cavern Rezone" dataDxfId="395"/>
    <tableColumn id="18" xr3:uid="{C6630C4B-97F3-4512-833F-587ADB90804D}" name="Water Rezone" dataDxfId="394"/>
    <tableColumn id="19" xr3:uid="{71938840-BA0F-4F0E-90C2-866B3EEED32E}" name="Total acres" dataDxfId="393">
      <calculatedColumnFormula>SUMIF(TblRezone[[#This Row],[Plains Rezone]:[Water Rezone]],"&gt;0")</calculatedColumnFormula>
    </tableColumn>
    <tableColumn id="20" xr3:uid="{A48C796B-764B-4744-95D2-0DB5292F5562}" name="Ok?" dataDxfId="392">
      <calculatedColumnFormula>IF(SUM(TblRezone[[#This Row],[Plains Rezone]:[Water Rezone]])=0,"Ok","Nope")</calculatedColumnFormula>
    </tableColumn>
    <tableColumn id="21" xr3:uid="{2EBFAAC1-440A-44F3-A930-C229C35B9BD3}" name=".." dataDxfId="391"/>
    <tableColumn id="22" xr3:uid="{2020F260-8DB5-44E6-A131-B44D79AF6B62}" name="Platinum" dataDxfId="390">
      <calculatedColumnFormula>TblProd[[#This Row],[Platinum]]</calculatedColumnFormula>
    </tableColumn>
    <tableColumn id="23" xr3:uid="{81A5A213-A750-4DD5-8456-6B104D493CA4}" name="…" dataDxfId="389"/>
    <tableColumn id="24" xr3:uid="{8EF28125-DA30-4482-ADE4-2B916A90CAD2}" name="Plat/acre" dataDxfId="38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7">
      <calculatedColumnFormula>TblRezone[[#This Row],[Total acres]]*TblRezone[[#This Row],[Plat/acre]]</calculatedColumnFormula>
    </tableColumn>
    <tableColumn id="26" xr3:uid="{685D7DEA-DD3C-4385-BEC6-C5DBEEE6B44D}" name="…." dataDxfId="386"/>
    <tableColumn id="27" xr3:uid="{44BE000A-0846-46D4-B9B4-8728EC5881AB}" name="Plat/acre*" dataDxfId="385">
      <calculatedColumnFormula>250+0.6*(TblRezone[[#This Row],[Land]]-250)</calculatedColumnFormula>
    </tableColumn>
    <tableColumn id="28" xr3:uid="{3AFBA97F-9340-4669-BF68-67D7B351BBD4}" name="….." dataDxfId="384"/>
    <tableColumn id="29" xr3:uid="{D8C9DC04-80EE-49BF-BEDB-6FEC536A5F93}" name="Facs" dataDxfId="38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5" dataDxfId="373" headerRowBorderDxfId="374" tableBorderDxfId="372">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1">
      <calculatedColumnFormula>TblRezone[[#This Row],[Hour]]</calculatedColumnFormula>
    </tableColumn>
    <tableColumn id="2" xr3:uid="{EAC413AF-EC0E-4C34-B6C3-F5AE2181B0A0}" name="Military" dataDxfId="370">
      <calculatedColumnFormula>SUM(TblMili[[#This Row],[Unit 1]:[Archmages]])+SUM(TblMili[[#This Row],[Train Unit 1]:[Train Unit 4]])+TblMili[[#This Row],[Draftees]]</calculatedColumnFormula>
    </tableColumn>
    <tableColumn id="3" xr3:uid="{B9847F02-8883-462E-B245-62A25138A973}" name="Military%" dataDxfId="369">
      <calculatedColumnFormula>TblPop[[#This Row],[Military%]]</calculatedColumnFormula>
    </tableColumn>
    <tableColumn id="4" xr3:uid="{873B66D3-9A4C-4CF2-ADD1-BF3696F9A721}" name="." dataDxfId="368"/>
    <tableColumn id="5" xr3:uid="{FC5A3C7C-0387-4B98-9BB7-AC3A387EAFF0}" name="Unit 1" dataDxfId="367">
      <calculatedColumnFormula>OFFSET(TblMili[[#This Row],[Unit 1]],-1,0) - TblMili[[#This Row],[Release Unit 1]]</calculatedColumnFormula>
    </tableColumn>
    <tableColumn id="6" xr3:uid="{A8BE2C9D-1318-46BD-B50B-D87014E90395}" name="Unit 2" dataDxfId="366">
      <calculatedColumnFormula>OFFSET(TblMili[[#This Row],[Unit 2]],-1,0)-TblMili[[#This Row],[Release Unit 2]]</calculatedColumnFormula>
    </tableColumn>
    <tableColumn id="7" xr3:uid="{49487FD4-4EF4-4722-A4A4-FCC0DD98F9F2}" name="Unit 3" dataDxfId="365">
      <calculatedColumnFormula>OFFSET(TblMili[[#This Row],[Unit 3]],-1,0)-TblMili[[#This Row],[Release Unit 3]]</calculatedColumnFormula>
    </tableColumn>
    <tableColumn id="8" xr3:uid="{739E7790-2960-445C-A5B2-C6064A881CDF}" name="Unit 4" dataDxfId="364">
      <calculatedColumnFormula>OFFSET(TblMili[[#This Row],[Unit 4]],-1,0)-TblMili[[#This Row],[Release Unit 4]]</calculatedColumnFormula>
    </tableColumn>
    <tableColumn id="9" xr3:uid="{0DB25EC0-D296-415A-BF65-DA60D7174CD2}" name="Spies" dataDxfId="363">
      <calculatedColumnFormula>OFFSET(TblMili[[#This Row],[Spies]],-1,0)-TblMili[[#This Row],[Release Spies]]</calculatedColumnFormula>
    </tableColumn>
    <tableColumn id="10" xr3:uid="{1B32AEAE-0DB3-4DD4-8543-1BD37596FD6C}" name="Wizards" dataDxfId="362">
      <calculatedColumnFormula>OFFSET(TblMili[[#This Row],[Wizards]],-1,0)-TblMili[[#This Row],[Release Wizards]]-TblMili[[#This Row],[Train Arch]]</calculatedColumnFormula>
    </tableColumn>
    <tableColumn id="11" xr3:uid="{ED512AF5-16B2-421C-BF95-07157DB57B9D}" name="Archmages" dataDxfId="361">
      <calculatedColumnFormula>OFFSET(TblMili[[#This Row],[Archmages]],-1,0)-TblMili[[#This Row],[Release Arch]]</calculatedColumnFormula>
    </tableColumn>
    <tableColumn id="12" xr3:uid="{CADE9B79-5861-46C5-8C69-B19C0F0551CF}" name=".." dataDxfId="360"/>
    <tableColumn id="13" xr3:uid="{18901E43-A967-4D1C-A56F-B4449A6C28E5}" name="Networth" dataDxfId="359">
      <calculatedColumnFormula>TblProd[[#This Row],[Networth]]</calculatedColumnFormula>
    </tableColumn>
    <tableColumn id="14" xr3:uid="{2F50B0FF-1C90-493E-BE67-86AFE22B6059}" name="…" dataDxfId="358"/>
    <tableColumn id="15" xr3:uid="{800A8F5F-B777-4995-AD6F-4DF929E0A477}" name="Raw" dataDxfId="357">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5">
      <calculatedColumnFormula>TblMili[[#This Row],[Raw]]*(1+TblMili[[#This Row],[Mods_Off]])</calculatedColumnFormula>
    </tableColumn>
    <tableColumn id="18" xr3:uid="{49AD1BCC-C9BC-46CD-8B38-93838D61E9DD}" name="Non Draft" dataDxfId="354">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3">
      <calculatedColumnFormula>TblMili[[#This Row],[Non Draft]]+TblMili[[#This Row],[Draftees]]</calculatedColumnFormula>
    </tableColumn>
    <tableColumn id="20" xr3:uid="{C64B2C83-F9B3-427D-8326-C6954139623D}" name="Mods_Def" dataDxfId="352">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1" dataCellStyle="Comma">
      <calculatedColumnFormula>TblMili[[#This Row],[Non Draft]] * (1 + TblMili[[#This Row],[Mods_Def]])</calculatedColumnFormula>
    </tableColumn>
    <tableColumn id="22" xr3:uid="{EA8914C0-CD98-4E5C-A923-EA0F9E30F1EA}" name="Draft (mod)" dataDxfId="350">
      <calculatedColumnFormula>TblMili[[#This Row],[Draft]] * (1 + TblMili[[#This Row],[Mods_Def]])</calculatedColumnFormula>
    </tableColumn>
    <tableColumn id="23" xr3:uid="{EAC9356D-CE42-4256-BB93-BF208B480555}" name="Land" dataDxfId="349">
      <calculatedColumnFormula>TblConstr[[#This Row],[Land]]</calculatedColumnFormula>
    </tableColumn>
    <tableColumn id="24" xr3:uid="{D4A87242-2EDC-47D9-8CA4-84D822469E1B}" name="Set" dataDxfId="348"/>
    <tableColumn id="25" xr3:uid="{448088C9-E1C1-47E6-9443-BE83ECC5C2F2}" name="Draftrate" dataDxfId="347" dataCellStyle="Percent">
      <calculatedColumnFormula>IF(TblMili[[#This Row],[Set]]&lt;&gt;"",TblMili[[#This Row],[Set]],OFFSET(TblMili[[#This Row],[Draftrate]],-1,0))</calculatedColumnFormula>
    </tableColumn>
    <tableColumn id="26" xr3:uid="{EE8F6844-A68F-416E-B5A0-7B6FA4C5DE98}" name="Draftees" dataDxfId="346">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5"/>
    <tableColumn id="28" xr3:uid="{0B20A7CE-7BB6-4469-889B-DF744233C462}" name="Smithies" dataDxfId="344" dataCellStyle="Percent">
      <calculatedColumnFormula>(TblConstr[[#This Row],[Tot Smi]]+TblConstr[[#This Row],[Dest Smi]])/(TblConstr[[#This Row],[Land]]-TblExplore[[#This Row],[Land Bonus]]*20)</calculatedColumnFormula>
    </tableColumn>
    <tableColumn id="29" xr3:uid="{A03A8504-EBEF-4639-9EE4-238592848C94}" name="….." dataDxfId="343"/>
    <tableColumn id="30" xr3:uid="{4B521A36-EE77-42BE-850C-0D858F3717A6}" name="Hour (2)" dataDxfId="342">
      <calculatedColumnFormula>TblMili[[#This Row],[Hour]]</calculatedColumnFormula>
    </tableColumn>
    <tableColumn id="31" xr3:uid="{D44FE507-2C86-49D9-BC07-83C7B27BB255}" name="Time" dataDxfId="341">
      <calculatedColumnFormula>TblExplore[[#This Row],[Time]]</calculatedColumnFormula>
    </tableColumn>
    <tableColumn id="32" xr3:uid="{0DAD6AB9-2259-4821-8771-37863F1ED4CC}" name="Train Unit 1" dataDxfId="340"/>
    <tableColumn id="33" xr3:uid="{0E43B866-578B-4060-84D1-01656CB368A4}" name="Train Unit 2" dataDxfId="339"/>
    <tableColumn id="34" xr3:uid="{3AAC979B-4FF3-4EFF-8F6E-BD28BBE2B8BD}" name="Train Unit 3" dataDxfId="338"/>
    <tableColumn id="35" xr3:uid="{EC6B8083-BC72-4376-9760-2275CF62C1A6}" name="Train Unit 4" dataDxfId="337"/>
    <tableColumn id="36" xr3:uid="{DE15CA92-2C69-4205-88B3-DE37F5AAF9A6}" name="Train Spies" dataDxfId="336"/>
    <tableColumn id="37" xr3:uid="{97770C71-624D-4E73-A8AD-D79927F45908}" name="Train Wiz" dataDxfId="335"/>
    <tableColumn id="38" xr3:uid="{4E456233-AA67-4D90-9179-339EBD335F62}" name="Train Arch" dataDxfId="334"/>
    <tableColumn id="39" xr3:uid="{29C90460-5421-4EA7-A4CB-BDA1C40BF8A1}" name="…..." dataDxfId="333"/>
    <tableColumn id="40" xr3:uid="{2C04ED42-9AAF-4375-A8D4-18DA4B397FAA}" name="Platinum" dataDxfId="332">
      <calculatedColumnFormula>TblProd[[#This Row],[Platinum]]</calculatedColumnFormula>
    </tableColumn>
    <tableColumn id="41" xr3:uid="{122C6EDE-4C24-4A3C-9FA2-6A7942348604}" name="Secondary recource" dataDxfId="331">
      <calculatedColumnFormula>INDEX(TblProd[[#Headers],[Lumber]]:TblProd[[#This Row],[Ore]],COUNTA(TblProd[[#Headers],[Lumber]]:TblProd[[#This Row],[Lumber]]),MATCH(Military!$AO$2,TblProd[[#Headers],[Lumber]:[Ore]],0))</calculatedColumnFormula>
    </tableColumn>
    <tableColumn id="42" xr3:uid="{AD4D72D1-3860-48CA-B3DA-ADFB8307154A}" name="Plat Cost" dataDxfId="33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8">
      <calculatedColumnFormula>TblMili[[#This Row],[Hour]]</calculatedColumnFormula>
    </tableColumn>
    <tableColumn id="45" xr3:uid="{20B1F70F-03BF-43F5-9126-6B2FF45FE149}" name="Time " dataDxfId="327">
      <calculatedColumnFormula>TblMili[[#This Row],[Time]]</calculatedColumnFormula>
    </tableColumn>
    <tableColumn id="46" xr3:uid="{32831987-A30D-4329-BB1C-DB47E6B77B54}" name="Draftees22" dataDxfId="326">
      <calculatedColumnFormula>TblMili[[#This Row],[Draftees]]</calculatedColumnFormula>
    </tableColumn>
    <tableColumn id="47" xr3:uid="{7EBE7BE4-37D1-4B52-B049-F9BE4ABBBADC}" name="Release Draft" dataDxfId="325"/>
    <tableColumn id="48" xr3:uid="{C3BB0EE7-6180-4099-B663-EFA3F1503DB3}" name="Release Unit 1" dataDxfId="324"/>
    <tableColumn id="49" xr3:uid="{EDF7E463-807D-4CE2-B63E-18766260768C}" name="Release Unit 2" dataDxfId="323"/>
    <tableColumn id="50" xr3:uid="{A1BE9DD8-455A-4FAA-8154-5BB2D1A53261}" name="Release Unit 3" dataDxfId="322"/>
    <tableColumn id="51" xr3:uid="{4FE1D56E-EA47-4DF6-B5A4-E78C1D5F5774}" name="Release Unit 4" dataDxfId="321"/>
    <tableColumn id="52" xr3:uid="{F0F9CB78-BA40-4031-AC17-0AB88B159B60}" name="Release Spies" dataDxfId="320"/>
    <tableColumn id="53" xr3:uid="{3CC7AC8A-814F-42C4-B491-A6DFD7A4A93E}" name="Release Wizards" dataDxfId="319"/>
    <tableColumn id="54" xr3:uid="{BCB616C3-3465-4473-B27B-B25584160E71}" name="Release Arch" dataDxfId="318"/>
    <tableColumn id="55" xr3:uid="{6B6EC03F-2A6A-47EB-A7F1-0DFE335A330A}" name="Column31" dataDxfId="317"/>
    <tableColumn id="56" xr3:uid="{71F6F49D-CD22-4E5F-BBB5-61150307312C}" name="WG's" dataDxfId="316">
      <calculatedColumnFormula>TblConstr[[#This Row],[Tot WG]]/TblConstr[[#This Row],[Land]]</calculatedColumnFormula>
    </tableColumn>
    <tableColumn id="57" xr3:uid="{B8AC3F70-AED4-4E5E-9FFD-FF94CB39B791}" name="FH's" dataDxfId="315">
      <calculatedColumnFormula>TblConstr[[#This Row],[Tot Hav]]/TblConstr[[#This Row],[Land]]</calculatedColumnFormula>
    </tableColumn>
    <tableColumn id="58" xr3:uid="{140FE3B0-18E6-43AA-A625-E817354E2D53}" name="OP Plat" dataDxfId="31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6">
      <calculatedColumnFormula>ROUNDUP((1-MIN(ROUND(fh_spy_cost_red*TblMili[[#This Row],[FH''s]],4),fh_spy_cost_cap)+ tech_1_9*TblTech[[#This Row],[1-9]] + tech_9_1*TblTech[[#This Row],[9-1]])*spy_plat,0)</calculatedColumnFormula>
    </tableColumn>
    <tableColumn id="67" xr3:uid="{CDB40042-773A-4CE1-B670-B62BC884A947}" name="Wizzies cost" dataDxfId="305">
      <calculatedColumnFormula>ROUNDUP((1-MIN(ROUND(wg_wiz_cost_bonus*TblMili[[#This Row],[WG''s]],4),wg_wiz_cost_cap) + tech_1_9_2*TblTech[[#This Row],[1-9]] + tech_9_1_2*TblTech[[#This Row],[9-1]])*wizard_plat,0)</calculatedColumnFormula>
    </tableColumn>
    <tableColumn id="68" xr3:uid="{1053234A-AE18-4A82-94FC-D94692087DE3}" name="AMs cost" dataDxfId="304">
      <calculatedColumnFormula>ROUNDUP((1-MIN(ROUND(wg_wiz_cost_bonus*TblMili[[#This Row],[WG''s]],4),wg_wiz_cost_cap) + tech_1_9_2*TblTech[[#This Row],[1-9]] + tech_9_1_2*TblTech[[#This Row],[9-1]])*archmage_plat,0)</calculatedColumnFormula>
    </tableColumn>
    <tableColumn id="69" xr3:uid="{9D11DA92-CF6B-4838-B51B-494833977486}" name="…2" dataDxfId="303"/>
    <tableColumn id="70" xr3:uid="{1F713D65-CE26-4E75-AF9C-1E2610D02FB6}" name="Hill" dataDxfId="302">
      <calculatedColumnFormula>TblConstr[[#This Row],[Homeland]]/TblConstr[[#This Row],[Land]]</calculatedColumnFormula>
    </tableColumn>
    <tableColumn id="71" xr3:uid="{FBD620E0-8F97-4BED-916D-A8962B459E13}" name="WG" dataDxfId="301">
      <calculatedColumnFormula>TblMili[[#This Row],[WG''s]]</calculatedColumnFormula>
    </tableColumn>
    <tableColumn id="72" xr3:uid="{0F482B90-6164-42A0-AC1A-EB6CBE2239E0}" name="Mystic" dataDxfId="300">
      <calculatedColumnFormula>IF(mystic_cap="none",TblMili[[#This Row],[Hill]]/mystic_bonus,MIN(mystic_cap,TblMili[[#This Row],[Hill]]/mystic_bonus))</calculatedColumnFormula>
    </tableColumn>
    <tableColumn id="73" xr3:uid="{2FD25056-5068-463F-8553-3D2CFBDBD80D}" name="Druid (op)" dataDxfId="299">
      <calculatedColumnFormula>IF(druid_op_cap="none",TblMili[[#This Row],[Hill]]/druid_op_bonus,MIN(druid_op_cap,TblMili[[#This Row],[Hill]]/druid_op_bonus))</calculatedColumnFormula>
    </tableColumn>
    <tableColumn id="74" xr3:uid="{53018DF3-E735-41C7-A3D0-8E634866C57E}" name="Druid (dp)" dataDxfId="298">
      <calculatedColumnFormula>IF(druid_dp_cap="none",TblMili[[#This Row],[Hill]]/druid_dp_bonus,MIN(druid_dp_cap,TblMili[[#This Row],[Hill]]/druid_dp_bonus))</calculatedColumnFormula>
    </tableColumn>
    <tableColumn id="75" xr3:uid="{7F4EE74D-9905-4DF0-A5F6-DDC9D0115356}" name="Dryad" dataDxfId="297">
      <calculatedColumnFormula>MIN(dryad_cap,TblMili[[#This Row],[Hill]]/dryad_bonus)</calculatedColumnFormula>
    </tableColumn>
    <tableColumn id="76" xr3:uid="{E7F9826C-05CD-49D4-95DF-ECCD467D1341}" name="Rockapult" dataDxfId="296">
      <calculatedColumnFormula>MIN(rocka_cap,TblMili[[#This Row],[Hill]]/rocka_bonus)</calculatedColumnFormula>
    </tableColumn>
    <tableColumn id="77" xr3:uid="{A26FFF73-DC56-4E66-8A0E-51A9C837AE8D}" name="Adept" dataDxfId="295">
      <calculatedColumnFormula>MIN(adept_op_cap,TblMili[[#This Row],[WG]]/adept_op_bonus)</calculatedColumnFormula>
    </tableColumn>
    <tableColumn id="78" xr3:uid="{A5F9372F-5EBA-4E5A-AB3F-5A786DE5FEB0}" name="Column35" dataDxfId="294">
      <calculatedColumnFormula>MIN(adept_dp_cap,TblMili[[#This Row],[WG]]/adept_dp_bonus)</calculatedColumnFormula>
    </tableColumn>
    <tableColumn id="79" xr3:uid="{FF50DABE-A375-4222-848D-9C4D1D0FC999}" name="Beasts" dataDxfId="293">
      <calculatedColumnFormula>MIN(TblMili[[#This Row],[Unit 3]],TblMili[[#This Row],[Unit 4]])*2</calculatedColumnFormula>
    </tableColumn>
    <tableColumn id="80" xr3:uid="{FFCDA044-2FD9-4119-B82B-7914D887B7F4}" name="Overlords" dataDxfId="292">
      <calculatedColumnFormula>MIN(TblMili[[#This Row],[Unit 1]],TblMili[[#This Row],[Unit 4]])*2</calculatedColumnFormula>
    </tableColumn>
    <tableColumn id="81" xr3:uid="{00DE2C4D-2323-42A0-B749-2FB5F4E28DBF}" name="Frost Mage" dataDxfId="291">
      <calculatedColumnFormula>MIN(frost_mage_cap,TblMili[[#This Row],[Hill]]/frost_mage_bonus)</calculatedColumnFormula>
    </tableColumn>
    <tableColumn id="82" xr3:uid="{BB055F70-3593-48E8-A32F-2C3BC4E6D218}" name="Ice Elemental" dataDxfId="290">
      <calculatedColumnFormula>MIN(ice_elem_cap,TblMili[[#This Row],[Raw (2)]]*ice_elem_bonus)</calculatedColumnFormula>
    </tableColumn>
    <tableColumn id="83" xr3:uid="{1158BE59-7C9D-4D41-AE99-4249CB18E29F}" name="Orc" dataDxfId="289">
      <calculatedColumnFormula>MIN(bone_breaker_cap,250/bone_breaker_bonus)</calculatedColumnFormula>
    </tableColumn>
    <tableColumn id="84" xr3:uid="{76252BAC-90E5-49A7-B5F9-E399F71EA45D}" name="Nox" dataDxfId="288">
      <calculatedColumnFormula>MIN(nox_nightshade_cap,TblConstr[[#This Row],[Homeland]]/TblConstr[[#This Row],[Land]]/nox_nightshade_swamp_bonus)</calculatedColumnFormula>
    </tableColumn>
    <tableColumn id="85" xr3:uid="{1DFCAA2E-8651-447E-895D-82655A45DF53}" name="Column36" dataDxfId="287"/>
    <tableColumn id="86" xr3:uid="{2B117F31-500F-4EF5-A943-EA4E7192FD0F}" name="Column37" dataDxfId="286"/>
    <tableColumn id="87" xr3:uid="{F3D20B86-D78F-4794-87F9-C555822D3041}" name="Column38" dataDxfId="285"/>
    <tableColumn id="88" xr3:uid="{BDEF093C-2660-4215-8999-F98F4344DFB8}" name="Mystic bonus" dataDxfId="284">
      <calculatedColumnFormula>MIN(6,TblMili[[#This Row],[Mystic]]+Races!$F$19)*1.8 +  IF(TblMili[[#This Row],[Mystic]]+Races!$F$19&gt;6,(TblMili[[#This Row],[Mystic]]+Races!$F$19-6)*0.2,0) - Races!$I$19</calculatedColumnFormula>
    </tableColumn>
    <tableColumn id="89" xr3:uid="{46F4DC63-3122-4751-919D-25DE59A7EF66}" name="Druid bonus" dataDxfId="28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2">
      <calculatedColumnFormula>TblMili[[#This Row],[Mystic bonus]]*TblMili[[#This Row],[Unit 3]]+TblMili[[#This Row],[Druid bonus]]*TblMili[[#This Row],[Unit 4]]</calculatedColumnFormula>
    </tableColumn>
    <tableColumn id="91" xr3:uid="{4EE98187-D861-41F7-99BA-17048C4D8D34}" name="Dryad bonus" dataDxfId="281">
      <calculatedColumnFormula>MIN(6,TblMili[[#This Row],[Dryad]]+Races!$F$35)*1.8 +  IF(TblMili[[#This Row],[Dryad]]+Races!$F$35&gt;6,(TblMili[[#This Row],[Dryad]]+Races!$F$35-6)*0.2,0) - Races!$I$19</calculatedColumnFormula>
    </tableColumn>
    <tableColumn id="92" xr3:uid="{4D0FBA77-63EB-4AF7-AA3C-BF4D432786D2}" name="Sylvan bonus" dataDxfId="280">
      <calculatedColumnFormula>sylvan*(TblMili[[#This Row],[Mystic bonus]]*TblMili[[#This Row],[Unit 3]])</calculatedColumnFormula>
    </tableColumn>
    <tableColumn id="93" xr3:uid="{9CB7A2CE-8BEC-402B-B1F0-5A1153673E45}" name="Rockapult bonus" dataDxfId="27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8">
      <calculatedColumnFormula>gnome*(TblMili[[#This Row],[Rockapult bonus]]*TblMili[[#This Row],[Unit 3]])</calculatedColumnFormula>
    </tableColumn>
    <tableColumn id="95" xr3:uid="{A02C2188-BFCD-4178-8B64-B969D4D2D97B}" name="Adept bonus" dataDxfId="277">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6">
      <calculatedColumnFormula>dark_elf*(TblMili[[#This Row],[Adept bonus]]*TblMili[[#This Row],[Unit 3]])</calculatedColumnFormula>
    </tableColumn>
    <tableColumn id="97" xr3:uid="{19730E51-BC55-444F-8E03-4B3A51C0E3D8}" name="Frost Mage bonus" dataDxfId="27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3">
      <calculatedColumnFormula>TblMili[[#This Row],[Frost Mage bonus]]*TblMili[[#This Row],[Unit 3]]+TblMili[[#This Row],[Ice Elemental bonus]]*TblMili[[#This Row],[Unit 4]]</calculatedColumnFormula>
    </tableColumn>
    <tableColumn id="100" xr3:uid="{A2072E36-3982-4B78-93F1-3B2C7DD41EB6}" name="Column46" dataDxfId="272"/>
    <tableColumn id="101" xr3:uid="{AA2C19ED-CD7C-4497-8949-4735D8380A50}" name="Column47" dataDxfId="271"/>
    <tableColumn id="102" xr3:uid="{045A1C5D-FFD7-4F37-8C55-3E1C6325D69C}" name="Column48" dataDxfId="270"/>
    <tableColumn id="103" xr3:uid="{CA1D4487-36A8-42BE-AAE8-1C025B923059}" name="Networth (2)" dataDxfId="26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8"/>
    <tableColumn id="105" xr3:uid="{628D592A-8396-4FB0-BFC1-BC7CA81586EE}" name="Raw (2)" dataDxfId="267">
      <calculatedColumnFormula>(TblMili[[#This Row],[Wizards]]+2*TblMili[[#This Row],[Archmages]])/TblConstr[[#This Row],[Land]]</calculatedColumnFormula>
    </tableColumn>
    <tableColumn id="106" xr3:uid="{016BFDB0-CD57-41C0-AF17-CB540C2E962C}" name="Modded (2)" dataDxfId="26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7" dataDxfId="255" headerRowBorderDxfId="256" tableBorderDxfId="254">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3">
      <calculatedColumnFormula>TblRezone[[#This Row],[Hour]]</calculatedColumnFormula>
    </tableColumn>
    <tableColumn id="2" xr3:uid="{E160E2FF-C983-4A55-B03E-684BAA5D56D7}" name="Land" dataDxfId="252">
      <calculatedColumnFormula>TblConstr[[#This Row],[Land]]</calculatedColumnFormula>
    </tableColumn>
    <tableColumn id="3" xr3:uid="{CEA3931F-9B77-4317-A7C7-C5D0214A12BA}" name="Mana" dataDxfId="251">
      <calculatedColumnFormula>TblProd[[#This Row],[Mana]]</calculatedColumnFormula>
    </tableColumn>
    <tableColumn id="4" xr3:uid="{D383CA2D-65F3-4634-A1DD-E4ECA1CC96C8}" name="Wiz str" dataDxfId="250">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9">
      <calculatedColumnFormula>OFFSET(TblMagic[[#This Row],[Time]],-1,0)+1/24</calculatedColumnFormula>
    </tableColumn>
    <tableColumn id="6" xr3:uid="{6625E0CA-37E1-457D-817F-784FA6A7A47B}" name="Pop" dataDxfId="248">
      <calculatedColumnFormula>TblImps[[#This Row],[Population]]</calculatedColumnFormula>
    </tableColumn>
    <tableColumn id="7" xr3:uid="{74B4A440-273D-4100-B1BC-91171D1D20B6}" name="Gaia's Watch" dataDxfId="247"/>
    <tableColumn id="8" xr3:uid="{43E4A01F-74F7-4C30-9D8A-3079A04763B9}" name="Mining Strength" dataDxfId="246"/>
    <tableColumn id="9" xr3:uid="{1A92950C-8F89-409E-9002-FCC57F75ADE0}" name="Ares Call" dataDxfId="245"/>
    <tableColumn id="10" xr3:uid="{A04C0737-02D0-4DAA-B9D7-324E3D59498C}" name="Midas Touch" dataDxfId="244"/>
    <tableColumn id="11" xr3:uid="{028D46F5-0AAD-49F8-AC48-D5E2C41FD4C2}" name="Harmony" dataDxfId="243"/>
    <tableColumn id="12" xr3:uid="{42548E68-C2D5-44CD-99FA-6AD40E64E185}" name="Miner's Sight" dataDxfId="242"/>
    <tableColumn id="13" xr3:uid="{D64F8C18-3DBE-4D7A-8AA3-C35E04DD6CAC}" name="Mechanical Genius" dataDxfId="241"/>
    <tableColumn id="14" xr3:uid="{0165862E-59ED-45FB-BD5A-0C7DCAA39217}" name="Frenzy" dataDxfId="240"/>
    <tableColumn id="15" xr3:uid="{762B30AD-670D-48C3-94F1-2BA1DC4089CC}" name="Killing Rage / Bloodrage" dataDxfId="239"/>
    <tableColumn id="16" xr3:uid="{0162EA56-857C-4157-A7AB-4D90C9EA47F1}" name="Gaia's Blessing" dataDxfId="238"/>
    <tableColumn id="17" xr3:uid="{6D83302D-974B-4742-8BDA-D99BB673F6D7}" name="Howling" dataDxfId="237"/>
    <tableColumn id="18" xr3:uid="{081EE08A-AA95-4648-9376-F68D04887352}" name="Blizzard" dataDxfId="236"/>
    <tableColumn id="19" xr3:uid="{3BCC0361-67FB-4576-8296-8E91F374A4A4}" name="Alchemists Flame" dataDxfId="235"/>
    <tableColumn id="20" xr3:uid="{CFB1AFFE-0570-4E81-B96B-5EE870CC5038}" name="Nightfall / Crusade" dataDxfId="234"/>
    <tableColumn id="21" xr3:uid="{4F53D2F5-E2E8-4AEE-975D-5B925FA589B0}" name="Useless spell" dataDxfId="233"/>
    <tableColumn id="22" xr3:uid="{E7040239-1040-4E8C-8EEB-3D517AC825BD}" name="." dataDxfId="232"/>
    <tableColumn id="23" xr3:uid="{8F45EE21-92D1-4622-B103-16B477DF630B}" name="Mana cost" dataDxfId="231">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0">
      <calculatedColumnFormula>SUMIF(TblMagic[[#This Row],[Gaia''s Watch]:[Useless spell]],1)*0.05</calculatedColumnFormula>
    </tableColumn>
    <tableColumn id="25" xr3:uid="{2466DF86-89FE-4172-9850-F9FBAE56839D}" name=".." dataDxfId="229"/>
    <tableColumn id="26" xr3:uid="{F8559349-C288-4EC3-B38A-23771E549D1D}" name="Active Gaia's Watch" dataDxfId="228">
      <calculatedColumnFormula>IF(TblMagic[[#This Row],[Gaia''s Watch]],12,IF(OFFSET(TblMagic[[#This Row],[Active Gaia''s Watch]],-1,0)&gt;0,OFFSET(TblMagic[[#This Row],[Active Gaia''s Watch]],-1,0)-1,0))</calculatedColumnFormula>
    </tableColumn>
    <tableColumn id="27" xr3:uid="{00F45689-4686-422F-8E94-89C18992B261}" name="Active Mining Strength" dataDxfId="227">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6">
      <calculatedColumnFormula>IF(TblMagic[[#This Row],[Ares Call]],12,IF(OFFSET(TblMagic[[#This Row],[Active Ares Call]],-1,0)&gt;0,OFFSET(TblMagic[[#This Row],[Active Ares Call]],-1,0)-1,0))</calculatedColumnFormula>
    </tableColumn>
    <tableColumn id="29" xr3:uid="{BCC9ACB6-69AC-4DA1-B07D-F4802162CEF5}" name="Active Midas Touch" dataDxfId="225">
      <calculatedColumnFormula>IF(TblMagic[[#This Row],[Midas Touch]],12,IF(OFFSET(TblMagic[[#This Row],[Active Midas Touch]],-1,0)&gt;0,OFFSET(TblMagic[[#This Row],[Active Midas Touch]],-1,0)-1,0))</calculatedColumnFormula>
    </tableColumn>
    <tableColumn id="30" xr3:uid="{D13DA239-CC1B-41FD-A41B-68906B10F262}" name="Active Harmony" dataDxfId="224">
      <calculatedColumnFormula>IF(TblMagic[[#This Row],[Harmony]],12,IF(OFFSET(TblMagic[[#This Row],[Active Harmony]],-1,0)&gt;0,OFFSET(TblMagic[[#This Row],[Active Harmony]],-1,0)-1,0))</calculatedColumnFormula>
    </tableColumn>
    <tableColumn id="31" xr3:uid="{10D4FEA0-0AA8-4F31-8F5A-8576AE611BDA}" name="Active Miner's Sight" dataDxfId="223">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2">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1">
      <calculatedColumnFormula>IF(TblMagic[[#This Row],[Frenzy]],12,IF(OFFSET(TblMagic[[#This Row],[Active Frenzy]],-1,0)&gt;0,OFFSET(TblMagic[[#This Row],[Active Frenzy]],-1,0)-1,0))</calculatedColumnFormula>
    </tableColumn>
    <tableColumn id="34" xr3:uid="{3460E27B-FD4A-47FC-A87F-BAFED0FCC033}" name="Active Warsong / Killing Rage / Bloodrage" dataDxfId="220">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9">
      <calculatedColumnFormula>IF(TblMagic[[#This Row],[Gaia''s Blessing]],12,IF(OFFSET(TblMagic[[#This Row],[Active Gaia''s Blessing]],-1,0)&gt;0,OFFSET(TblMagic[[#This Row],[Active Gaia''s Blessing]],-1,0)-1,0))</calculatedColumnFormula>
    </tableColumn>
    <tableColumn id="36" xr3:uid="{DB2BE469-2BE3-4333-BFBC-C2857399E743}" name="Active Howling" dataDxfId="218">
      <calculatedColumnFormula>IF(TblMagic[[#This Row],[Howling]],12,IF(OFFSET(TblMagic[[#This Row],[Active Howling]],-1,0)&gt;0,OFFSET(TblMagic[[#This Row],[Active Howling]],-1,0)-1,0))</calculatedColumnFormula>
    </tableColumn>
    <tableColumn id="37" xr3:uid="{F5838FA3-8068-44AA-A6A2-758F46E5F78D}" name="Active Blizzard" dataDxfId="217">
      <calculatedColumnFormula>IF(TblMagic[[#This Row],[Blizzard]],12,IF(OFFSET(TblMagic[[#This Row],[Active Blizzard]],-1,0)&gt;0,OFFSET(TblMagic[[#This Row],[Active Blizzard]],-1,0)-1,0))</calculatedColumnFormula>
    </tableColumn>
    <tableColumn id="38" xr3:uid="{11215FCC-A994-4C4E-835C-F365C4B7BDF8}" name="Active Alchemists Flame" dataDxfId="216">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5">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9.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7" t="s">
        <v>463</v>
      </c>
      <c r="B1" s="557"/>
      <c r="C1" s="557"/>
      <c r="D1" s="557"/>
      <c r="E1" s="557"/>
      <c r="F1" s="557"/>
      <c r="G1" s="557"/>
      <c r="H1" s="557"/>
      <c r="I1" s="557"/>
      <c r="J1" s="557"/>
      <c r="K1" s="557"/>
      <c r="L1" s="558"/>
      <c r="M1" s="565" t="s">
        <v>1082</v>
      </c>
      <c r="N1" s="566"/>
      <c r="O1" s="567"/>
    </row>
    <row r="2" spans="1:15" s="48" customFormat="1" ht="12.75" customHeight="1" x14ac:dyDescent="0.2">
      <c r="A2" s="551" t="s">
        <v>1080</v>
      </c>
      <c r="B2" s="552"/>
      <c r="C2" s="552"/>
      <c r="D2" s="552"/>
      <c r="E2" s="552"/>
      <c r="F2" s="552"/>
      <c r="G2" s="552"/>
      <c r="H2" s="552"/>
      <c r="I2" s="552"/>
      <c r="J2" s="552"/>
      <c r="K2" s="552"/>
      <c r="L2" s="553"/>
      <c r="M2" s="538" t="s">
        <v>1081</v>
      </c>
      <c r="N2" s="539"/>
      <c r="O2" s="540"/>
    </row>
    <row r="3" spans="1:15" s="48" customFormat="1" x14ac:dyDescent="0.2">
      <c r="A3" s="551"/>
      <c r="B3" s="552"/>
      <c r="C3" s="552"/>
      <c r="D3" s="552"/>
      <c r="E3" s="552"/>
      <c r="F3" s="552"/>
      <c r="G3" s="552"/>
      <c r="H3" s="552"/>
      <c r="I3" s="552"/>
      <c r="J3" s="552"/>
      <c r="K3" s="552"/>
      <c r="L3" s="553"/>
      <c r="M3" s="538"/>
      <c r="N3" s="539"/>
      <c r="O3" s="540"/>
    </row>
    <row r="4" spans="1:15" s="48" customFormat="1" x14ac:dyDescent="0.2">
      <c r="A4" s="551"/>
      <c r="B4" s="552"/>
      <c r="C4" s="552"/>
      <c r="D4" s="552"/>
      <c r="E4" s="552"/>
      <c r="F4" s="552"/>
      <c r="G4" s="552"/>
      <c r="H4" s="552"/>
      <c r="I4" s="552"/>
      <c r="J4" s="552"/>
      <c r="K4" s="552"/>
      <c r="L4" s="553"/>
      <c r="M4" s="538"/>
      <c r="N4" s="539"/>
      <c r="O4" s="540"/>
    </row>
    <row r="5" spans="1:15" s="48" customFormat="1" x14ac:dyDescent="0.2">
      <c r="A5" s="551"/>
      <c r="B5" s="552"/>
      <c r="C5" s="552"/>
      <c r="D5" s="552"/>
      <c r="E5" s="552"/>
      <c r="F5" s="552"/>
      <c r="G5" s="552"/>
      <c r="H5" s="552"/>
      <c r="I5" s="552"/>
      <c r="J5" s="552"/>
      <c r="K5" s="552"/>
      <c r="L5" s="553"/>
      <c r="M5" s="538"/>
      <c r="N5" s="539"/>
      <c r="O5" s="540"/>
    </row>
    <row r="6" spans="1:15" s="48" customFormat="1" x14ac:dyDescent="0.2">
      <c r="A6" s="551"/>
      <c r="B6" s="552"/>
      <c r="C6" s="552"/>
      <c r="D6" s="552"/>
      <c r="E6" s="552"/>
      <c r="F6" s="552"/>
      <c r="G6" s="552"/>
      <c r="H6" s="552"/>
      <c r="I6" s="552"/>
      <c r="J6" s="552"/>
      <c r="K6" s="552"/>
      <c r="L6" s="553"/>
      <c r="M6" s="538"/>
      <c r="N6" s="539"/>
      <c r="O6" s="540"/>
    </row>
    <row r="7" spans="1:15" s="48" customFormat="1" ht="13.5" thickBot="1" x14ac:dyDescent="0.25">
      <c r="A7" s="554"/>
      <c r="B7" s="555"/>
      <c r="C7" s="555"/>
      <c r="D7" s="555"/>
      <c r="E7" s="555"/>
      <c r="F7" s="555"/>
      <c r="G7" s="555"/>
      <c r="H7" s="555"/>
      <c r="I7" s="555"/>
      <c r="J7" s="555"/>
      <c r="K7" s="555"/>
      <c r="L7" s="556"/>
      <c r="M7" s="538"/>
      <c r="N7" s="539"/>
      <c r="O7" s="540"/>
    </row>
    <row r="8" spans="1:15" s="48" customFormat="1" ht="15.75" x14ac:dyDescent="0.2">
      <c r="A8" s="559" t="s">
        <v>462</v>
      </c>
      <c r="B8" s="560"/>
      <c r="C8" s="560"/>
      <c r="D8" s="560"/>
      <c r="E8" s="560"/>
      <c r="F8" s="560"/>
      <c r="G8" s="560"/>
      <c r="H8" s="560"/>
      <c r="I8" s="561"/>
      <c r="J8" s="568" t="s">
        <v>1110</v>
      </c>
      <c r="K8" s="569"/>
      <c r="L8" s="570"/>
      <c r="M8" s="541"/>
      <c r="N8" s="542"/>
      <c r="O8" s="543"/>
    </row>
    <row r="9" spans="1:15" s="48" customFormat="1" ht="12.75" customHeight="1" x14ac:dyDescent="0.2">
      <c r="A9" s="562" t="s">
        <v>1079</v>
      </c>
      <c r="B9" s="563"/>
      <c r="C9" s="563"/>
      <c r="D9" s="563"/>
      <c r="E9" s="563"/>
      <c r="F9" s="563"/>
      <c r="G9" s="563"/>
      <c r="H9" s="563"/>
      <c r="I9" s="563"/>
      <c r="J9" s="571"/>
      <c r="K9" s="572"/>
      <c r="L9" s="573"/>
      <c r="M9" s="541"/>
      <c r="N9" s="542"/>
      <c r="O9" s="543"/>
    </row>
    <row r="10" spans="1:15" s="48" customFormat="1" ht="12.75" customHeight="1" x14ac:dyDescent="0.2">
      <c r="A10" s="562"/>
      <c r="B10" s="563"/>
      <c r="C10" s="563"/>
      <c r="D10" s="563"/>
      <c r="E10" s="563"/>
      <c r="F10" s="563"/>
      <c r="G10" s="563"/>
      <c r="H10" s="563"/>
      <c r="I10" s="563"/>
      <c r="J10" s="571"/>
      <c r="K10" s="572"/>
      <c r="L10" s="573"/>
      <c r="M10" s="541"/>
      <c r="N10" s="542"/>
      <c r="O10" s="543"/>
    </row>
    <row r="11" spans="1:15" s="48" customFormat="1" ht="12.75" customHeight="1" x14ac:dyDescent="0.2">
      <c r="A11" s="562"/>
      <c r="B11" s="563"/>
      <c r="C11" s="563"/>
      <c r="D11" s="563"/>
      <c r="E11" s="563"/>
      <c r="F11" s="563"/>
      <c r="G11" s="563"/>
      <c r="H11" s="563"/>
      <c r="I11" s="563"/>
      <c r="J11" s="571"/>
      <c r="K11" s="572"/>
      <c r="L11" s="573"/>
      <c r="M11" s="541"/>
      <c r="N11" s="542"/>
      <c r="O11" s="543"/>
    </row>
    <row r="12" spans="1:15" s="48" customFormat="1" ht="28.5" customHeight="1" thickBot="1" x14ac:dyDescent="0.25">
      <c r="A12" s="562"/>
      <c r="B12" s="563"/>
      <c r="C12" s="563"/>
      <c r="D12" s="563"/>
      <c r="E12" s="563"/>
      <c r="F12" s="563"/>
      <c r="G12" s="563"/>
      <c r="H12" s="563"/>
      <c r="I12" s="563"/>
      <c r="J12" s="574"/>
      <c r="K12" s="575"/>
      <c r="L12" s="576"/>
      <c r="M12" s="544"/>
      <c r="N12" s="545"/>
      <c r="O12" s="546"/>
    </row>
    <row r="13" spans="1:15" s="48" customFormat="1" ht="25.5" customHeight="1" thickBot="1" x14ac:dyDescent="0.25">
      <c r="A13" s="547" t="s">
        <v>268</v>
      </c>
      <c r="B13" s="548"/>
      <c r="C13" s="549"/>
      <c r="D13" s="549"/>
      <c r="E13" s="549"/>
      <c r="F13" s="549"/>
      <c r="G13" s="549"/>
      <c r="H13" s="549"/>
      <c r="I13" s="549"/>
      <c r="J13" s="549"/>
      <c r="K13" s="549"/>
      <c r="L13" s="549"/>
      <c r="M13" s="549"/>
      <c r="N13" s="549"/>
      <c r="O13" s="549"/>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44405</v>
      </c>
      <c r="D15" s="59" t="s">
        <v>335</v>
      </c>
      <c r="E15" s="60">
        <f>B15+(1+B16-1)/24+B18-6/24</f>
        <v>44404.75</v>
      </c>
      <c r="H15" s="59" t="s">
        <v>175</v>
      </c>
      <c r="I15" s="61">
        <f>INDEX(TblRaces[[Max population]:[Explore Cost]],MATCH(race,TblRaces[Race],0),MATCH(Table4[[#This Row],[Race Bonuses]],TblRaces[[#Headers],[Max population]:[Explore Cost]],0))</f>
        <v>0</v>
      </c>
      <c r="K15" s="62" t="s">
        <v>439</v>
      </c>
      <c r="O15" s="63"/>
    </row>
    <row r="16" spans="1:15" s="48" customFormat="1" ht="12.75" customHeight="1" thickBot="1" x14ac:dyDescent="0.25">
      <c r="A16" s="49" t="s">
        <v>331</v>
      </c>
      <c r="B16" s="170">
        <v>0</v>
      </c>
      <c r="C16" s="48" t="s">
        <v>542</v>
      </c>
      <c r="D16" s="59" t="s">
        <v>328</v>
      </c>
      <c r="E16" s="60">
        <f ca="1">NOW()</f>
        <v>44441.598760763889</v>
      </c>
      <c r="H16" s="59" t="s">
        <v>105</v>
      </c>
      <c r="I16" s="61">
        <f>INDEX(TblRaces[[Max population]:[Explore Cost]],MATCH(race,TblRaces[Race],0),MATCH(Table4[[#This Row],[Race Bonuses]],TblRaces[[#Headers],[Max population]:[Explore Cost]],0))</f>
        <v>0</v>
      </c>
      <c r="K16" s="550" t="s">
        <v>464</v>
      </c>
      <c r="L16" s="564"/>
      <c r="M16" s="564"/>
      <c r="N16" s="564"/>
      <c r="O16" s="63"/>
    </row>
    <row r="17" spans="1:15" s="48" customFormat="1" ht="12.75" customHeight="1" thickBot="1" x14ac:dyDescent="0.25">
      <c r="A17" s="49" t="s">
        <v>332</v>
      </c>
      <c r="B17" s="64">
        <f ca="1">TODAY()</f>
        <v>44441</v>
      </c>
      <c r="C17" s="65"/>
      <c r="D17" s="66" t="s">
        <v>327</v>
      </c>
      <c r="E17" s="67">
        <f>0+Log!P16</f>
        <v>0</v>
      </c>
      <c r="F17" s="68"/>
      <c r="G17" s="68"/>
      <c r="H17" s="59" t="s">
        <v>172</v>
      </c>
      <c r="I17" s="61">
        <f>INDEX(TblRaces[[Max population]:[Explore Cost]],MATCH(race,TblRaces[Race],0),MATCH(Table4[[#This Row],[Race Bonuses]],TblRaces[[#Headers],[Max population]:[Explore Cost]],0))</f>
        <v>0</v>
      </c>
      <c r="J17" s="55"/>
      <c r="K17" s="564"/>
      <c r="L17" s="564"/>
      <c r="M17" s="564"/>
      <c r="N17" s="564"/>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population]:[Explore Cost]],MATCH(race,TblRaces[Race],0),MATCH(Table4[[#This Row],[Race Bonuses]],TblRaces[[#Headers],[Max population]:[Explore Cost]],0))</f>
        <v>0.05</v>
      </c>
      <c r="J18" s="55"/>
      <c r="K18" s="564"/>
      <c r="L18" s="564"/>
      <c r="M18" s="564"/>
      <c r="N18" s="564"/>
      <c r="O18" s="63"/>
    </row>
    <row r="19" spans="1:15" s="48" customFormat="1" x14ac:dyDescent="0.2">
      <c r="H19" s="59" t="s">
        <v>108</v>
      </c>
      <c r="I19" s="61">
        <f>INDEX(TblRaces[[Max population]:[Explore Cost]],MATCH(race,TblRaces[Race],0),MATCH(Table4[[#This Row],[Race Bonuses]],TblRaces[[#Headers],[Max population]:[Explore Cost]],0))</f>
        <v>0</v>
      </c>
      <c r="J19" s="55"/>
      <c r="K19" s="564"/>
      <c r="L19" s="564"/>
      <c r="M19" s="564"/>
      <c r="N19" s="564"/>
      <c r="O19" s="70"/>
    </row>
    <row r="20" spans="1:15" s="48" customFormat="1" x14ac:dyDescent="0.2">
      <c r="H20" s="59" t="s">
        <v>109</v>
      </c>
      <c r="I20" s="61">
        <f>INDEX(TblRaces[[Max population]:[Explore Cost]],MATCH(race,TblRaces[Race],0),MATCH(Table4[[#This Row],[Race Bonuses]],TblRaces[[#Headers],[Max population]:[Explore Cost]],0))</f>
        <v>0</v>
      </c>
      <c r="J20" s="55"/>
      <c r="K20" s="564"/>
      <c r="L20" s="564"/>
      <c r="M20" s="564"/>
      <c r="N20" s="564"/>
      <c r="O20" s="71"/>
    </row>
    <row r="21" spans="1:15" s="48" customFormat="1" x14ac:dyDescent="0.2">
      <c r="A21" s="72" t="s">
        <v>330</v>
      </c>
      <c r="B21" s="73" t="s">
        <v>31</v>
      </c>
      <c r="C21" s="73" t="s">
        <v>32</v>
      </c>
      <c r="D21" s="73" t="s">
        <v>2</v>
      </c>
      <c r="E21" s="73" t="s">
        <v>3</v>
      </c>
      <c r="F21" s="73" t="s">
        <v>242</v>
      </c>
      <c r="H21" s="59" t="s">
        <v>110</v>
      </c>
      <c r="I21" s="61">
        <f>INDEX(TblRaces[[Max population]:[Explore Cost]],MATCH(race,TblRaces[Race],0),MATCH(Table4[[#This Row],[Race Bonuses]],TblRaces[[#Headers],[Max population]:[Explore Cost]],0))</f>
        <v>0</v>
      </c>
      <c r="J21" s="55"/>
      <c r="K21" s="564"/>
      <c r="L21" s="564"/>
      <c r="M21" s="564"/>
      <c r="N21" s="564"/>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0"/>
      <c r="L23" s="550"/>
      <c r="M23" s="550"/>
      <c r="N23" s="550"/>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0"/>
      <c r="L24" s="550"/>
      <c r="M24" s="550"/>
      <c r="N24" s="550"/>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0"/>
      <c r="L25" s="550"/>
      <c r="M25" s="550"/>
      <c r="N25" s="550"/>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population]:[Explore Cost]],MATCH(race,TblRaces[Race],0),MATCH(Table4[[#This Row],[Race Bonuses]],TblRaces[[#Headers],[Max population]:[Explore Cost]],0))</f>
        <v>0</v>
      </c>
      <c r="K26" s="550"/>
      <c r="L26" s="550"/>
      <c r="M26" s="550"/>
      <c r="N26" s="550"/>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population]:[Explore Cost]],MATCH(race,TblRaces[Race],0),MATCH(Table4[[#This Row],[Race Bonuses]],TblRaces[[#Headers],[Max population]:[Explore Cost]],0))</f>
        <v>0</v>
      </c>
      <c r="K27" s="550"/>
      <c r="L27" s="550"/>
      <c r="M27" s="550"/>
      <c r="N27" s="550"/>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503</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504</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541</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1113</v>
      </c>
      <c r="I32" s="533">
        <f>INDEX(TblRaces[[Max population]:[Explore Cost]],MATCH(race,TblRaces[Race],0),MATCH(Table4[[#This Row],[Race Bonuses]],TblRaces[[#Headers],[Max population]:[Explore Cost]],0))</f>
        <v>0</v>
      </c>
      <c r="J32" s="83"/>
      <c r="O32" s="88"/>
    </row>
    <row r="33" spans="1:15" s="89" customFormat="1" ht="29.25" customHeight="1" x14ac:dyDescent="0.2">
      <c r="A33" s="534" t="s">
        <v>389</v>
      </c>
      <c r="B33" s="535"/>
      <c r="C33" s="535"/>
      <c r="D33" s="535"/>
      <c r="E33" s="535"/>
      <c r="F33" s="535"/>
      <c r="G33" s="535"/>
      <c r="H33" s="535"/>
      <c r="I33" s="535"/>
      <c r="J33" s="536"/>
      <c r="K33" s="537"/>
      <c r="L33" s="537"/>
      <c r="M33" s="537"/>
      <c r="N33" s="537"/>
      <c r="O33" s="537"/>
    </row>
    <row r="34" spans="1:15" x14ac:dyDescent="0.2">
      <c r="A34" s="90" t="s">
        <v>22</v>
      </c>
      <c r="B34" s="91" t="s">
        <v>366</v>
      </c>
      <c r="C34" s="92" t="s">
        <v>31</v>
      </c>
      <c r="D34" s="93" t="s">
        <v>218</v>
      </c>
      <c r="E34" s="94" t="s">
        <v>1051</v>
      </c>
      <c r="F34" s="92" t="s">
        <v>32</v>
      </c>
      <c r="G34" s="93" t="s">
        <v>1049</v>
      </c>
      <c r="H34" s="93" t="s">
        <v>1050</v>
      </c>
      <c r="I34" s="95" t="s">
        <v>801</v>
      </c>
      <c r="J34" s="48"/>
      <c r="K34" s="48"/>
      <c r="L34" s="48"/>
      <c r="M34" s="48"/>
      <c r="N34" s="48"/>
      <c r="O34" s="96"/>
    </row>
    <row r="35" spans="1:15" x14ac:dyDescent="0.2">
      <c r="A35" s="98" t="s">
        <v>34</v>
      </c>
      <c r="B35" s="99" t="s">
        <v>228</v>
      </c>
      <c r="C35" s="100" t="s">
        <v>200</v>
      </c>
      <c r="D35" s="101" t="s">
        <v>218</v>
      </c>
      <c r="E35" s="99" t="s">
        <v>239</v>
      </c>
      <c r="F35" s="101" t="s">
        <v>200</v>
      </c>
      <c r="G35" s="101" t="s">
        <v>218</v>
      </c>
      <c r="H35" s="101" t="s">
        <v>239</v>
      </c>
      <c r="I35" s="102" t="s">
        <v>34</v>
      </c>
      <c r="J35" s="48"/>
      <c r="K35" s="62" t="s">
        <v>440</v>
      </c>
      <c r="L35" s="48"/>
      <c r="M35" s="48"/>
      <c r="N35" s="103"/>
      <c r="O35" s="57"/>
    </row>
    <row r="36" spans="1:15" x14ac:dyDescent="0.2">
      <c r="A36" s="98" t="str">
        <f>spec_op_name</f>
        <v>Spearman</v>
      </c>
      <c r="B36" s="104">
        <f ca="1">Military!E$76</f>
        <v>0</v>
      </c>
      <c r="C36" s="105">
        <f ca="1">B36*B22</f>
        <v>0</v>
      </c>
      <c r="D36" s="106">
        <f ca="1">Military!P76</f>
        <v>7.5000000000000011E-2</v>
      </c>
      <c r="E36" s="104">
        <f ca="1">C36*(1+$D$36)</f>
        <v>0</v>
      </c>
      <c r="F36" s="107">
        <f ca="1">B36*C22</f>
        <v>0</v>
      </c>
      <c r="G36" s="106">
        <f ca="1">Military!T76</f>
        <v>0.1</v>
      </c>
      <c r="H36" s="107">
        <f ca="1">F36*(1+$G$36)</f>
        <v>0</v>
      </c>
      <c r="I36" s="108" t="str">
        <f>A36</f>
        <v>Spearman</v>
      </c>
      <c r="J36" s="48"/>
      <c r="K36" s="580" t="s">
        <v>441</v>
      </c>
      <c r="L36" s="581"/>
      <c r="M36" s="581"/>
      <c r="N36" s="581"/>
      <c r="O36" s="57"/>
    </row>
    <row r="37" spans="1:15" x14ac:dyDescent="0.2">
      <c r="A37" s="109" t="str">
        <f>spec_dp_name</f>
        <v>Archer</v>
      </c>
      <c r="B37" s="110">
        <f ca="1">Military!F$76</f>
        <v>1081</v>
      </c>
      <c r="C37" s="111">
        <f ca="1">B37*B23</f>
        <v>0</v>
      </c>
      <c r="D37" s="112"/>
      <c r="E37" s="110">
        <f ca="1">C37*(1+$D$36)</f>
        <v>0</v>
      </c>
      <c r="F37" s="113">
        <f ca="1">B37*C23</f>
        <v>3243</v>
      </c>
      <c r="G37" s="112"/>
      <c r="H37" s="113">
        <f ca="1">F37*(1+$G$36)</f>
        <v>3567.3</v>
      </c>
      <c r="I37" s="108" t="str">
        <f>A37</f>
        <v>Archer</v>
      </c>
      <c r="J37" s="48"/>
      <c r="K37" s="581"/>
      <c r="L37" s="581"/>
      <c r="M37" s="581"/>
      <c r="N37" s="581"/>
      <c r="O37" s="57"/>
    </row>
    <row r="38" spans="1:15" x14ac:dyDescent="0.2">
      <c r="A38" s="109" t="str">
        <f>elite1_name</f>
        <v>Knight</v>
      </c>
      <c r="B38" s="110">
        <f ca="1">Military!G$76</f>
        <v>125</v>
      </c>
      <c r="C38" s="111">
        <f ca="1">B38*B24</f>
        <v>250</v>
      </c>
      <c r="D38" s="112"/>
      <c r="E38" s="110">
        <f ca="1">C38*(1+$D$36)</f>
        <v>268.75</v>
      </c>
      <c r="F38" s="113">
        <f ca="1">B38*C24+E88*D88</f>
        <v>750</v>
      </c>
      <c r="G38" s="112"/>
      <c r="H38" s="113">
        <f ca="1">F38*(1+$G$36)</f>
        <v>825.00000000000011</v>
      </c>
      <c r="I38" s="108" t="str">
        <f>A38</f>
        <v>Knight</v>
      </c>
      <c r="J38" s="48"/>
      <c r="K38" s="581"/>
      <c r="L38" s="581"/>
      <c r="M38" s="581"/>
      <c r="N38" s="581"/>
      <c r="O38" s="57"/>
    </row>
    <row r="39" spans="1:15" ht="13.5" thickBot="1" x14ac:dyDescent="0.25">
      <c r="A39" s="109" t="str">
        <f>elite2_name</f>
        <v>Cavalry</v>
      </c>
      <c r="B39" s="110">
        <f ca="1">Military!H$76</f>
        <v>600</v>
      </c>
      <c r="C39" s="114">
        <f ca="1">B39*B25+E88*C89</f>
        <v>3600</v>
      </c>
      <c r="D39" s="112"/>
      <c r="E39" s="115">
        <f ca="1">C39*(1+$D$36)</f>
        <v>3870</v>
      </c>
      <c r="F39" s="116">
        <f ca="1">B39*C25</f>
        <v>1800</v>
      </c>
      <c r="G39" s="112"/>
      <c r="H39" s="116">
        <f ca="1">F39*(1+$G$36)</f>
        <v>1980.0000000000002</v>
      </c>
      <c r="I39" s="108" t="str">
        <f>A39</f>
        <v>Cavalry</v>
      </c>
      <c r="J39" s="48"/>
      <c r="K39" s="550" t="s">
        <v>461</v>
      </c>
      <c r="L39" s="584"/>
      <c r="M39" s="584"/>
      <c r="N39" s="584"/>
      <c r="O39" s="57"/>
    </row>
    <row r="40" spans="1:15" ht="13.5" thickTop="1" x14ac:dyDescent="0.2">
      <c r="A40" s="117"/>
      <c r="B40" s="118"/>
      <c r="C40" s="119">
        <f ca="1">SUM(C36:C39)</f>
        <v>3850</v>
      </c>
      <c r="D40" s="49"/>
      <c r="E40" s="120">
        <f ca="1">SUM(E36:E39)</f>
        <v>4138.75</v>
      </c>
      <c r="F40" s="121">
        <f ca="1">SUM(F36:F39)</f>
        <v>5793</v>
      </c>
      <c r="G40" s="122"/>
      <c r="H40" s="121">
        <f ca="1">SUM(H36:H39)</f>
        <v>6372.3</v>
      </c>
      <c r="I40" s="100"/>
      <c r="J40" s="48"/>
      <c r="K40" s="584"/>
      <c r="L40" s="584"/>
      <c r="M40" s="584"/>
      <c r="N40" s="584"/>
      <c r="O40" s="57"/>
    </row>
    <row r="41" spans="1:15" x14ac:dyDescent="0.2">
      <c r="A41" s="123" t="s">
        <v>24</v>
      </c>
      <c r="B41" s="124">
        <f ca="1">F41</f>
        <v>704</v>
      </c>
      <c r="C41" s="125"/>
      <c r="D41" s="59"/>
      <c r="E41" s="126"/>
      <c r="F41" s="113">
        <f ca="1">Military!Z76</f>
        <v>704</v>
      </c>
      <c r="G41" s="127"/>
      <c r="H41" s="113">
        <f ca="1">F41*(1+$G$36)</f>
        <v>774.40000000000009</v>
      </c>
      <c r="I41" s="108" t="s">
        <v>432</v>
      </c>
      <c r="J41" s="48"/>
      <c r="K41" s="582" t="s">
        <v>459</v>
      </c>
      <c r="L41" s="583"/>
      <c r="M41" s="583"/>
      <c r="N41" s="583"/>
      <c r="O41" s="57"/>
    </row>
    <row r="42" spans="1:15" ht="13.5" thickBot="1" x14ac:dyDescent="0.25">
      <c r="A42" s="123" t="s">
        <v>431</v>
      </c>
      <c r="B42" s="59">
        <f ca="1">E54</f>
        <v>0</v>
      </c>
      <c r="C42" s="125"/>
      <c r="D42" s="59"/>
      <c r="E42" s="126"/>
      <c r="F42" s="128">
        <f ca="1">MIN(Population!C76/2,Constants!B14*20*Construction!BE76)</f>
        <v>0</v>
      </c>
      <c r="G42" s="127"/>
      <c r="H42" s="129">
        <f ca="1">F42*(1+$G$36)</f>
        <v>0</v>
      </c>
      <c r="I42" s="108" t="s">
        <v>390</v>
      </c>
      <c r="J42" s="48"/>
      <c r="K42" s="583"/>
      <c r="L42" s="583"/>
      <c r="M42" s="583"/>
      <c r="N42" s="583"/>
      <c r="O42" s="57"/>
    </row>
    <row r="43" spans="1:15" ht="13.5" thickTop="1" x14ac:dyDescent="0.2">
      <c r="B43" s="59"/>
      <c r="C43" s="125"/>
      <c r="D43" s="59"/>
      <c r="E43" s="126"/>
      <c r="F43" s="121">
        <f ca="1">F41+F40+F42</f>
        <v>6497</v>
      </c>
      <c r="G43" s="49"/>
      <c r="H43" s="120">
        <f ca="1">H41+H40+H42</f>
        <v>7146.7000000000007</v>
      </c>
      <c r="I43" s="108"/>
      <c r="J43" s="48"/>
      <c r="K43" s="535"/>
      <c r="L43" s="535"/>
      <c r="M43" s="535"/>
      <c r="N43" s="535"/>
      <c r="O43" s="57"/>
    </row>
    <row r="44" spans="1:15" x14ac:dyDescent="0.2">
      <c r="A44" s="52"/>
      <c r="B44" s="48"/>
      <c r="C44" s="52"/>
      <c r="D44" s="579"/>
      <c r="E44" s="579"/>
      <c r="F44" s="579"/>
      <c r="G44" s="579"/>
      <c r="H44" s="579"/>
      <c r="I44" s="52"/>
      <c r="J44" s="48"/>
      <c r="K44" s="48"/>
      <c r="L44" s="48"/>
      <c r="M44" s="48"/>
      <c r="N44" s="48"/>
      <c r="O44" s="57"/>
    </row>
    <row r="45" spans="1:15" x14ac:dyDescent="0.2">
      <c r="A45" s="130" t="str">
        <f>A26</f>
        <v>Spy</v>
      </c>
      <c r="B45" s="131">
        <f ca="1">Military!I76</f>
        <v>35</v>
      </c>
      <c r="C45" s="49"/>
      <c r="D45" s="48"/>
      <c r="E45" s="48"/>
      <c r="F45" s="48"/>
      <c r="G45" s="48"/>
      <c r="I45" s="52"/>
      <c r="J45" s="48"/>
      <c r="K45" s="48"/>
      <c r="L45" s="48"/>
      <c r="M45" s="48"/>
      <c r="N45" s="48"/>
      <c r="O45" s="57"/>
    </row>
    <row r="46" spans="1:15" x14ac:dyDescent="0.2">
      <c r="A46" s="132" t="str">
        <f>A27</f>
        <v>Wizard</v>
      </c>
      <c r="B46" s="133">
        <f ca="1">Military!J76</f>
        <v>35</v>
      </c>
      <c r="C46" s="52"/>
      <c r="D46" s="134" t="s">
        <v>264</v>
      </c>
      <c r="E46" s="135" t="s">
        <v>366</v>
      </c>
      <c r="F46" s="91" t="s">
        <v>1052</v>
      </c>
      <c r="G46" s="48"/>
      <c r="H46" s="62" t="s">
        <v>266</v>
      </c>
      <c r="I46" s="48"/>
      <c r="J46" s="48"/>
      <c r="K46" s="48"/>
      <c r="L46" s="48"/>
      <c r="M46" s="48"/>
      <c r="N46" s="48"/>
      <c r="O46" s="57"/>
    </row>
    <row r="47" spans="1:15" x14ac:dyDescent="0.2">
      <c r="A47" s="136" t="str">
        <f>A28</f>
        <v>Archmage</v>
      </c>
      <c r="B47" s="137">
        <f ca="1">Military!K76</f>
        <v>0</v>
      </c>
      <c r="C47" s="52"/>
      <c r="D47" s="138" t="s">
        <v>1</v>
      </c>
      <c r="E47" s="138">
        <f ca="1">Construction!BT76</f>
        <v>600</v>
      </c>
      <c r="F47" s="139">
        <v>1</v>
      </c>
      <c r="G47" s="48"/>
      <c r="H47" s="49" t="s">
        <v>267</v>
      </c>
      <c r="I47" s="140" t="s">
        <v>200</v>
      </c>
      <c r="J47" s="141" t="s">
        <v>239</v>
      </c>
      <c r="K47" s="48"/>
      <c r="L47" s="48"/>
      <c r="M47" s="48"/>
      <c r="N47" s="48"/>
      <c r="O47" s="57"/>
    </row>
    <row r="48" spans="1:15" x14ac:dyDescent="0.2">
      <c r="A48" s="52"/>
      <c r="B48" s="48"/>
      <c r="C48" s="52"/>
      <c r="D48" s="142" t="str">
        <f>Construction!AY3</f>
        <v>Tot Hom</v>
      </c>
      <c r="E48" s="143">
        <f ca="1">Construction!AY76</f>
        <v>48</v>
      </c>
      <c r="F48" s="144">
        <f ca="1">E48/$E$47</f>
        <v>0.08</v>
      </c>
      <c r="G48" s="48"/>
      <c r="H48" s="49" t="s">
        <v>261</v>
      </c>
      <c r="I48" s="145">
        <f ca="1">C40/E47</f>
        <v>6.416666666666667</v>
      </c>
      <c r="J48" s="145">
        <f ca="1">E40/E47</f>
        <v>6.8979166666666663</v>
      </c>
      <c r="K48" s="48"/>
      <c r="L48" s="48"/>
      <c r="M48" s="48"/>
      <c r="N48" s="48"/>
      <c r="O48" s="57"/>
    </row>
    <row r="49" spans="1:15" x14ac:dyDescent="0.2">
      <c r="A49" s="130" t="s">
        <v>279</v>
      </c>
      <c r="B49" s="522">
        <f ca="1">Production!N76*(boat_size + tech_6_3_3*Techs!BH76)</f>
        <v>1470</v>
      </c>
      <c r="C49" s="52"/>
      <c r="D49" s="142" t="str">
        <f>Construction!AZ3</f>
        <v>Tot Alc</v>
      </c>
      <c r="E49" s="49">
        <f ca="1">Construction!AZ76</f>
        <v>264</v>
      </c>
      <c r="F49" s="144">
        <f ca="1">E49/$E$47</f>
        <v>0.44</v>
      </c>
      <c r="G49" s="48"/>
      <c r="H49" s="49" t="s">
        <v>262</v>
      </c>
      <c r="I49" s="145">
        <f ca="1">F40/E47</f>
        <v>9.6549999999999994</v>
      </c>
      <c r="J49" s="145">
        <f ca="1">H40/E47</f>
        <v>10.6205</v>
      </c>
      <c r="K49" s="48"/>
      <c r="L49" s="48"/>
      <c r="M49" s="48"/>
      <c r="N49" s="48"/>
      <c r="O49" s="57"/>
    </row>
    <row r="50" spans="1:15" x14ac:dyDescent="0.2">
      <c r="A50" s="146" t="s">
        <v>388</v>
      </c>
      <c r="B50" s="523">
        <f>SUM(Imps!M4:'Imps'!M76)</f>
        <v>23</v>
      </c>
      <c r="C50" s="52"/>
      <c r="D50" s="142" t="str">
        <f>Construction!BA3</f>
        <v>Tot Farm</v>
      </c>
      <c r="E50" s="49">
        <f ca="1">Construction!BA76</f>
        <v>30</v>
      </c>
      <c r="F50" s="144">
        <f ca="1">E50/$E$47</f>
        <v>0.05</v>
      </c>
      <c r="G50" s="48"/>
      <c r="H50" s="49" t="s">
        <v>263</v>
      </c>
      <c r="I50" s="145">
        <f ca="1">B45/E47</f>
        <v>5.8333333333333334E-2</v>
      </c>
      <c r="J50" s="145">
        <f ca="1">I50*(1+I25)</f>
        <v>5.8333333333333334E-2</v>
      </c>
      <c r="K50" s="48"/>
      <c r="L50" s="48"/>
      <c r="M50" s="48"/>
      <c r="N50" s="48"/>
      <c r="O50" s="57"/>
    </row>
    <row r="51" spans="1:15" x14ac:dyDescent="0.2">
      <c r="C51" s="52"/>
      <c r="D51" s="142" t="str">
        <f>Construction!BB3</f>
        <v>Tot Smi</v>
      </c>
      <c r="E51" s="49">
        <f ca="1">Construction!BB76</f>
        <v>108</v>
      </c>
      <c r="F51" s="144">
        <f t="shared" ref="F51:F66" ca="1" si="0">E51/$E$47</f>
        <v>0.18</v>
      </c>
      <c r="G51" s="48"/>
      <c r="H51" s="49" t="s">
        <v>265</v>
      </c>
      <c r="I51" s="145">
        <f ca="1">(B47*2+B46)/E47</f>
        <v>5.8333333333333334E-2</v>
      </c>
      <c r="J51" s="145">
        <f ca="1">I51*(1+I26+Constants!O57*Techs!AL76)</f>
        <v>5.8333333333333334E-2</v>
      </c>
      <c r="K51" s="48"/>
      <c r="L51" s="48"/>
      <c r="M51" s="48"/>
      <c r="N51" s="48"/>
      <c r="O51" s="57"/>
    </row>
    <row r="52" spans="1:15" x14ac:dyDescent="0.2">
      <c r="A52" s="147" t="s">
        <v>1</v>
      </c>
      <c r="B52" s="519">
        <f ca="1">E47</f>
        <v>600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7383</v>
      </c>
      <c r="C53" s="52"/>
      <c r="D53" s="142" t="str">
        <f>Construction!BD3</f>
        <v>Tot Ly</v>
      </c>
      <c r="E53" s="49">
        <f ca="1">Construction!BD76</f>
        <v>20</v>
      </c>
      <c r="F53" s="144">
        <f t="shared" ca="1" si="0"/>
        <v>3.3333333333333333E-2</v>
      </c>
      <c r="G53" s="48"/>
      <c r="H53" s="62" t="s">
        <v>2</v>
      </c>
      <c r="I53" s="48"/>
      <c r="J53" s="48"/>
      <c r="K53" s="48"/>
      <c r="L53" s="48"/>
      <c r="M53" s="48"/>
      <c r="N53" s="48"/>
      <c r="O53" s="57"/>
    </row>
    <row r="54" spans="1:15" x14ac:dyDescent="0.2">
      <c r="A54" s="149" t="s">
        <v>24</v>
      </c>
      <c r="B54" s="521">
        <f ca="1">B41</f>
        <v>704</v>
      </c>
      <c r="C54" s="52"/>
      <c r="D54" s="142" t="str">
        <f>Construction!BE3</f>
        <v>Tot Hav</v>
      </c>
      <c r="E54" s="49">
        <f ca="1">Construction!BE76</f>
        <v>0</v>
      </c>
      <c r="F54" s="144">
        <f t="shared" ca="1" si="0"/>
        <v>0</v>
      </c>
      <c r="G54" s="48"/>
      <c r="H54" s="49" t="s">
        <v>0</v>
      </c>
      <c r="I54" s="123" t="s">
        <v>228</v>
      </c>
      <c r="J54" s="122" t="s">
        <v>396</v>
      </c>
      <c r="K54" s="48"/>
      <c r="L54" s="48"/>
      <c r="M54" s="48"/>
      <c r="N54" s="48"/>
      <c r="O54" s="57"/>
    </row>
    <row r="55" spans="1:15" x14ac:dyDescent="0.2">
      <c r="A55" s="148" t="s">
        <v>242</v>
      </c>
      <c r="B55" s="520">
        <f ca="1">Production!G76</f>
        <v>29507.5</v>
      </c>
      <c r="C55" s="52"/>
      <c r="D55" s="142" t="str">
        <f>Construction!BF3</f>
        <v>Tot OM</v>
      </c>
      <c r="E55" s="49">
        <f ca="1">Construction!BF76</f>
        <v>30</v>
      </c>
      <c r="F55" s="144">
        <f t="shared" ca="1" si="0"/>
        <v>0.05</v>
      </c>
      <c r="G55" s="48"/>
      <c r="H55" s="150">
        <v>61</v>
      </c>
      <c r="I55" s="74">
        <f ca="1">Production!H64</f>
        <v>81283</v>
      </c>
      <c r="J55" s="74">
        <f ca="1">Production!H64+SUM(Military!AP4:AP64)</f>
        <v>653283</v>
      </c>
      <c r="K55" s="151"/>
      <c r="L55" s="48"/>
      <c r="M55" s="48"/>
      <c r="N55" s="48"/>
      <c r="O55" s="57"/>
    </row>
    <row r="56" spans="1:15" x14ac:dyDescent="0.2">
      <c r="A56" s="149" t="s">
        <v>278</v>
      </c>
      <c r="B56" s="521">
        <f ca="1">H40</f>
        <v>6372.3</v>
      </c>
      <c r="C56" s="52"/>
      <c r="D56" s="142" t="str">
        <f>Construction!BG3</f>
        <v>Tot GN</v>
      </c>
      <c r="E56" s="49">
        <f ca="1">Construction!BG76</f>
        <v>0</v>
      </c>
      <c r="F56" s="144">
        <f t="shared" ca="1" si="0"/>
        <v>0</v>
      </c>
      <c r="G56" s="48"/>
      <c r="H56" s="150">
        <v>64</v>
      </c>
      <c r="I56" s="74">
        <f ca="1">Production!H67</f>
        <v>2686</v>
      </c>
      <c r="J56" s="74">
        <f ca="1">Production!H67+SUM(Military!AP5:AP67)</f>
        <v>764942</v>
      </c>
      <c r="K56" s="152"/>
      <c r="L56" s="48"/>
      <c r="M56" s="48"/>
      <c r="N56" s="48"/>
      <c r="O56" s="57"/>
    </row>
    <row r="57" spans="1:15" x14ac:dyDescent="0.2">
      <c r="A57" s="148" t="s">
        <v>277</v>
      </c>
      <c r="B57" s="520">
        <f ca="1">E40</f>
        <v>4138.75</v>
      </c>
      <c r="C57" s="52"/>
      <c r="D57" s="142" t="str">
        <f>Construction!BJ3</f>
        <v>Tot Bar</v>
      </c>
      <c r="E57" s="49">
        <f ca="1">Construction!BJ76</f>
        <v>0</v>
      </c>
      <c r="F57" s="144">
        <f t="shared" ca="1" si="0"/>
        <v>0</v>
      </c>
      <c r="G57" s="48"/>
      <c r="H57" s="150" t="s">
        <v>241</v>
      </c>
      <c r="I57" s="74">
        <f ca="1">Production!H76</f>
        <v>327885</v>
      </c>
      <c r="J57" s="74">
        <f ca="1">Production!H76+SUM(Military!AP4:AP76)</f>
        <v>1090141</v>
      </c>
      <c r="K57" s="152"/>
      <c r="L57" s="48"/>
      <c r="M57" s="48"/>
      <c r="N57" s="48"/>
      <c r="O57" s="57"/>
    </row>
    <row r="58" spans="1:15" x14ac:dyDescent="0.2">
      <c r="A58" s="149" t="s">
        <v>6</v>
      </c>
      <c r="B58" s="521">
        <f ca="1">Production!S76</f>
        <v>34995</v>
      </c>
      <c r="C58" s="52"/>
      <c r="D58" s="142" t="str">
        <f>Construction!BH3</f>
        <v>Tot Fac</v>
      </c>
      <c r="E58" s="49">
        <f ca="1">Construction!BH76</f>
        <v>45</v>
      </c>
      <c r="F58" s="144">
        <f t="shared" ca="1" si="0"/>
        <v>7.4999999999999997E-2</v>
      </c>
      <c r="G58" s="48"/>
      <c r="H58" s="48"/>
      <c r="I58" s="48"/>
      <c r="J58" s="48"/>
      <c r="K58" s="152"/>
      <c r="L58" s="48"/>
      <c r="M58" s="48"/>
      <c r="N58" s="48"/>
      <c r="O58" s="57"/>
    </row>
    <row r="59" spans="1:15" x14ac:dyDescent="0.2">
      <c r="A59" s="148" t="s">
        <v>2</v>
      </c>
      <c r="B59" s="520">
        <f ca="1">Production!H$76</f>
        <v>327885</v>
      </c>
      <c r="C59" s="52"/>
      <c r="D59" s="142" t="str">
        <f>Construction!BI3</f>
        <v>Tot GT</v>
      </c>
      <c r="E59" s="49">
        <f ca="1">Construction!BI76</f>
        <v>0</v>
      </c>
      <c r="F59" s="144">
        <f t="shared" ca="1" si="0"/>
        <v>0</v>
      </c>
      <c r="G59" s="48"/>
      <c r="H59" s="56" t="s">
        <v>288</v>
      </c>
      <c r="I59" s="48"/>
      <c r="J59" s="48"/>
      <c r="K59" s="48"/>
      <c r="L59" s="48"/>
      <c r="M59" s="48"/>
      <c r="N59" s="48"/>
      <c r="O59" s="57"/>
    </row>
    <row r="60" spans="1:15" x14ac:dyDescent="0.2">
      <c r="A60" s="149" t="s">
        <v>5</v>
      </c>
      <c r="B60" s="521">
        <f ca="1">Production!I$76</f>
        <v>88976</v>
      </c>
      <c r="C60" s="52"/>
      <c r="D60" s="142" t="str">
        <f>Construction!BK3</f>
        <v>Tot Shr</v>
      </c>
      <c r="E60" s="49">
        <f ca="1">Construction!BK76</f>
        <v>0</v>
      </c>
      <c r="F60" s="144">
        <f t="shared" ca="1" si="0"/>
        <v>0</v>
      </c>
      <c r="G60" s="48"/>
      <c r="H60" s="49" t="s">
        <v>289</v>
      </c>
      <c r="I60" s="111" t="s">
        <v>228</v>
      </c>
      <c r="J60" s="153" t="s">
        <v>395</v>
      </c>
      <c r="K60" s="48"/>
      <c r="L60" s="48"/>
      <c r="M60" s="48"/>
      <c r="N60" s="48"/>
      <c r="O60" s="57"/>
    </row>
    <row r="61" spans="1:15" x14ac:dyDescent="0.2">
      <c r="A61" s="148" t="s">
        <v>7</v>
      </c>
      <c r="B61" s="520">
        <f ca="1">Production!J$76</f>
        <v>34338</v>
      </c>
      <c r="C61" s="52"/>
      <c r="D61" s="142" t="str">
        <f>Construction!BL3</f>
        <v>Tot Tow</v>
      </c>
      <c r="E61" s="49">
        <f ca="1">Construction!BL76</f>
        <v>15</v>
      </c>
      <c r="F61" s="144">
        <f t="shared" ca="1" si="0"/>
        <v>2.5000000000000001E-2</v>
      </c>
      <c r="G61" s="48"/>
      <c r="H61" s="49" t="s">
        <v>290</v>
      </c>
      <c r="I61" s="113">
        <f ca="1">SUM(Construction!AQ4:AQ76)</f>
        <v>310384</v>
      </c>
      <c r="J61" s="153">
        <f ca="1">IFERROR(Table18[[#This Row],[Amount]]/Table18[[#Totals],[Amount]],0)</f>
        <v>0.22713761121461951</v>
      </c>
      <c r="K61" s="48"/>
      <c r="L61" s="48"/>
      <c r="M61" s="48"/>
      <c r="N61" s="48"/>
      <c r="O61" s="57"/>
    </row>
    <row r="62" spans="1:15" x14ac:dyDescent="0.2">
      <c r="A62" s="149" t="s">
        <v>12</v>
      </c>
      <c r="B62" s="521">
        <f ca="1">Production!K$76</f>
        <v>3524.5</v>
      </c>
      <c r="C62" s="52"/>
      <c r="D62" s="142" t="str">
        <f>Construction!BM3</f>
        <v>Tot Tem</v>
      </c>
      <c r="E62" s="49">
        <f ca="1">Construction!BM76</f>
        <v>20</v>
      </c>
      <c r="F62" s="144">
        <f t="shared" ca="1" si="0"/>
        <v>3.3333333333333333E-2</v>
      </c>
      <c r="G62" s="48"/>
      <c r="H62" s="49" t="s">
        <v>291</v>
      </c>
      <c r="I62" s="113">
        <f ca="1">SUM(Explore!AH4:AH76)</f>
        <v>283862</v>
      </c>
      <c r="J62" s="153">
        <f ca="1">IFERROR(Table18[[#This Row],[Amount]]/Table18[[#Totals],[Amount]],0)</f>
        <v>0.2077289312419594</v>
      </c>
      <c r="K62" s="48"/>
      <c r="L62" s="48"/>
      <c r="M62" s="48"/>
      <c r="N62" s="48"/>
      <c r="O62" s="57"/>
    </row>
    <row r="63" spans="1:15" x14ac:dyDescent="0.2">
      <c r="A63" s="148" t="s">
        <v>3</v>
      </c>
      <c r="B63" s="520">
        <f ca="1">Production!L$76</f>
        <v>19190</v>
      </c>
      <c r="C63" s="52"/>
      <c r="D63" s="142" t="str">
        <f>Construction!BN3</f>
        <v>Tot WG</v>
      </c>
      <c r="E63" s="49">
        <f ca="1">Construction!BN76</f>
        <v>0</v>
      </c>
      <c r="F63" s="144">
        <f t="shared" ca="1" si="0"/>
        <v>0</v>
      </c>
      <c r="G63" s="48"/>
      <c r="H63" s="49" t="s">
        <v>22</v>
      </c>
      <c r="I63" s="113">
        <f ca="1">SUM(Military!AP4:AP76)</f>
        <v>762256</v>
      </c>
      <c r="J63" s="153">
        <f ca="1">IFERROR(Table18[[#This Row],[Amount]]/Table18[[#Totals],[Amount]],0)</f>
        <v>0.55781550264836788</v>
      </c>
      <c r="K63" s="48"/>
      <c r="L63" s="48"/>
      <c r="M63" s="48"/>
      <c r="N63" s="48"/>
      <c r="O63" s="57"/>
    </row>
    <row r="64" spans="1:15" x14ac:dyDescent="0.2">
      <c r="A64" s="149" t="s">
        <v>4</v>
      </c>
      <c r="B64" s="521">
        <f ca="1">Production!M$76</f>
        <v>0</v>
      </c>
      <c r="C64" s="52"/>
      <c r="D64" s="142" t="str">
        <f>Construction!BO3</f>
        <v>Tot DM</v>
      </c>
      <c r="E64" s="49">
        <f ca="1">Construction!BO76</f>
        <v>0</v>
      </c>
      <c r="F64" s="144">
        <f t="shared" ca="1" si="0"/>
        <v>0</v>
      </c>
      <c r="G64" s="48"/>
      <c r="H64" s="49" t="s">
        <v>202</v>
      </c>
      <c r="I64" s="113">
        <f ca="1">SUM(Rezone!Y4:Y76)</f>
        <v>10000</v>
      </c>
      <c r="J64" s="153">
        <f ca="1">IFERROR(Table18[[#This Row],[Amount]]/Table18[[#Totals],[Amount]],0)</f>
        <v>7.3179548950532093E-3</v>
      </c>
      <c r="K64" s="48"/>
      <c r="L64" s="48"/>
      <c r="M64" s="48"/>
      <c r="N64" s="48"/>
      <c r="O64" s="57"/>
    </row>
    <row r="65" spans="1:15" x14ac:dyDescent="0.2">
      <c r="A65" s="148" t="s">
        <v>82</v>
      </c>
      <c r="B65" s="520">
        <f ca="1">Production!N$76</f>
        <v>49</v>
      </c>
      <c r="C65" s="52"/>
      <c r="D65" s="142" t="str">
        <f>Construction!BP3</f>
        <v>Tot Sch</v>
      </c>
      <c r="E65" s="49">
        <f ca="1">Construction!BP76</f>
        <v>0</v>
      </c>
      <c r="F65" s="144">
        <f t="shared" ca="1" si="0"/>
        <v>0</v>
      </c>
      <c r="G65" s="48"/>
      <c r="H65" s="49" t="s">
        <v>292</v>
      </c>
      <c r="I65" s="113">
        <f>SUM(Imps!AM4:AM76)</f>
        <v>0</v>
      </c>
      <c r="J65" s="153">
        <f ca="1">IFERROR(Table18[[#This Row],[Amount]]/Table18[[#Totals],[Amount]],0)</f>
        <v>0</v>
      </c>
      <c r="K65" s="48"/>
      <c r="L65" s="48"/>
      <c r="M65" s="48"/>
      <c r="N65" s="48"/>
      <c r="O65" s="57"/>
    </row>
    <row r="66" spans="1:15" x14ac:dyDescent="0.2">
      <c r="A66" s="149" t="s">
        <v>286</v>
      </c>
      <c r="B66" s="521">
        <f>SUM(Explore!T65:Z76)+SUM(Explore!S77:S87)*15</f>
        <v>0</v>
      </c>
      <c r="C66" s="48"/>
      <c r="D66" s="474" t="str">
        <f>Construction!BQ3</f>
        <v>Tot Doc</v>
      </c>
      <c r="E66" s="155">
        <f ca="1">Construction!BQ76</f>
        <v>20</v>
      </c>
      <c r="F66" s="157">
        <f t="shared" ca="1" si="0"/>
        <v>3.3333333333333333E-2</v>
      </c>
      <c r="G66" s="48"/>
      <c r="H66" s="97" t="s">
        <v>198</v>
      </c>
      <c r="I66" s="154">
        <f ca="1">SUBTOTAL(109,Table18[Amount])</f>
        <v>1366502</v>
      </c>
      <c r="J66" s="423">
        <f>1</f>
        <v>1</v>
      </c>
      <c r="K66" s="48"/>
      <c r="L66" s="48"/>
      <c r="M66" s="48"/>
      <c r="N66" s="48"/>
      <c r="O66" s="57"/>
    </row>
    <row r="67" spans="1:15" x14ac:dyDescent="0.2">
      <c r="A67" s="148" t="s">
        <v>287</v>
      </c>
      <c r="B67" s="520">
        <f>Construction!D76</f>
        <v>0</v>
      </c>
      <c r="C67" s="48"/>
      <c r="D67" s="155" t="str">
        <f>B69</f>
        <v>Plain</v>
      </c>
      <c r="E67" s="156">
        <f ca="1">Construction!DG76</f>
        <v>450</v>
      </c>
      <c r="F67" s="157">
        <f ca="1">E67/E47</f>
        <v>0.75</v>
      </c>
      <c r="G67" s="48"/>
      <c r="I67" s="48"/>
      <c r="K67" s="48"/>
      <c r="L67" s="48"/>
      <c r="M67" s="48"/>
      <c r="N67" s="48"/>
      <c r="O67" s="57"/>
    </row>
    <row r="68" spans="1:15" x14ac:dyDescent="0.2">
      <c r="A68" s="158" t="s">
        <v>392</v>
      </c>
      <c r="B68" s="159" t="str">
        <f>VLOOKUP($B$14,Races!$A$4:$B$111,2,FALSE)</f>
        <v>Good</v>
      </c>
      <c r="C68" s="48"/>
      <c r="D68" s="72" t="s">
        <v>370</v>
      </c>
      <c r="E68" s="121">
        <f ca="1">E47-SUM(E48:E66)-B67</f>
        <v>0</v>
      </c>
      <c r="F68" s="160">
        <f ca="1">E68/E47</f>
        <v>0</v>
      </c>
      <c r="G68" s="48"/>
      <c r="H68" s="48"/>
      <c r="I68" s="48"/>
      <c r="J68" s="48"/>
      <c r="K68" s="48"/>
      <c r="L68" s="48"/>
      <c r="M68" s="48"/>
      <c r="N68" s="48"/>
      <c r="O68" s="57"/>
    </row>
    <row r="69" spans="1:15" x14ac:dyDescent="0.2">
      <c r="A69" s="158" t="s">
        <v>391</v>
      </c>
      <c r="B69" s="159" t="str">
        <f>VLOOKUP($B$14,Races!$A$4:$C$111,3,FALSE)</f>
        <v>Plain</v>
      </c>
      <c r="C69" s="48"/>
      <c r="D69" s="72" t="s">
        <v>371</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77" t="s">
        <v>299</v>
      </c>
      <c r="B73" s="578"/>
      <c r="C73" s="161"/>
      <c r="D73" s="161"/>
      <c r="E73" s="161"/>
      <c r="O73" s="49"/>
    </row>
    <row r="74" spans="1:15" x14ac:dyDescent="0.2">
      <c r="A74" s="162" t="s">
        <v>300</v>
      </c>
      <c r="B74" s="163"/>
      <c r="C74" s="161"/>
      <c r="D74" s="161"/>
      <c r="E74" s="163"/>
      <c r="O74" s="49"/>
    </row>
    <row r="75" spans="1:15" x14ac:dyDescent="0.2">
      <c r="A75" s="164" t="s">
        <v>302</v>
      </c>
      <c r="B75" s="164" t="s">
        <v>303</v>
      </c>
      <c r="C75" s="164" t="s">
        <v>305</v>
      </c>
      <c r="D75" s="164" t="s">
        <v>304</v>
      </c>
      <c r="E75" s="161"/>
      <c r="O75" s="49"/>
    </row>
    <row r="76" spans="1:15" x14ac:dyDescent="0.2">
      <c r="A76" s="161" t="s">
        <v>92</v>
      </c>
      <c r="B76" s="161" t="s">
        <v>127</v>
      </c>
      <c r="C76" s="165"/>
      <c r="D76" s="165">
        <f ca="1">IF(Constants!F112="none",$F$67/Constants!C112,MIN(Constants!F112,$F$67/Constants!C112))</f>
        <v>3.75</v>
      </c>
      <c r="E76" s="161" t="b">
        <f>$B$14=A76</f>
        <v>0</v>
      </c>
      <c r="O76" s="49"/>
    </row>
    <row r="77" spans="1:15" x14ac:dyDescent="0.2">
      <c r="A77" s="161"/>
      <c r="B77" s="161" t="s">
        <v>128</v>
      </c>
      <c r="C77" s="165">
        <f ca="1">IF(Constants!F113="none",$F$67/Constants!C113,MIN(Constants!F113,$F$67/Constants!C113))</f>
        <v>3.75</v>
      </c>
      <c r="D77" s="165">
        <f ca="1">IF(Constants!F114="none",$F$67/Constants!C114,MIN(Constants!F114,$F$67/Constants!C114))</f>
        <v>3.75</v>
      </c>
      <c r="E77" s="161"/>
      <c r="O77" s="49"/>
    </row>
    <row r="78" spans="1:15" x14ac:dyDescent="0.2">
      <c r="A78" s="161" t="s">
        <v>96</v>
      </c>
      <c r="B78" s="161" t="s">
        <v>143</v>
      </c>
      <c r="C78" s="165"/>
      <c r="D78" s="165">
        <f ca="1">MIN(Constants!F115,$F$67/Constants!C115)</f>
        <v>3.75</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341</v>
      </c>
      <c r="B81" s="161" t="s">
        <v>344</v>
      </c>
      <c r="C81" s="161"/>
      <c r="D81" s="165">
        <f ca="1">MIN(Constants!F119,F67/Constants!C119)</f>
        <v>3</v>
      </c>
      <c r="E81" s="161" t="b">
        <f>$B$14=A81</f>
        <v>0</v>
      </c>
      <c r="O81" s="49"/>
    </row>
    <row r="82" spans="1:15" x14ac:dyDescent="0.2">
      <c r="A82" s="161"/>
      <c r="B82" s="161" t="s">
        <v>345</v>
      </c>
      <c r="C82" s="161">
        <f ca="1">MIN(Constants!F120,I51*Constants!C120)</f>
        <v>5.8333333333333334E-2</v>
      </c>
      <c r="D82" s="161"/>
      <c r="E82" s="161"/>
      <c r="O82" s="49"/>
    </row>
    <row r="83" spans="1:15" x14ac:dyDescent="0.2">
      <c r="A83" s="161" t="s">
        <v>147</v>
      </c>
      <c r="B83" s="161" t="s">
        <v>387</v>
      </c>
      <c r="C83" s="161"/>
      <c r="D83" s="165">
        <f>MIN(Constants!F121,250/Constants!C121)</f>
        <v>0</v>
      </c>
      <c r="E83" s="161" t="b">
        <f>$B$14=A83</f>
        <v>0</v>
      </c>
      <c r="O83" s="49"/>
    </row>
    <row r="84" spans="1:15" x14ac:dyDescent="0.2">
      <c r="A84" s="166" t="s">
        <v>147</v>
      </c>
      <c r="B84" s="161" t="s">
        <v>369</v>
      </c>
      <c r="C84" s="167">
        <f>MIN(bone_breaker_cap,250/bone_breaker_bonus)</f>
        <v>0.66666666666666663</v>
      </c>
      <c r="E84" s="161" t="b">
        <f>$B$14=A84</f>
        <v>0</v>
      </c>
      <c r="O84" s="49"/>
    </row>
    <row r="85" spans="1:15" x14ac:dyDescent="0.2">
      <c r="A85" s="161" t="s">
        <v>515</v>
      </c>
      <c r="B85" s="161" t="s">
        <v>436</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301</v>
      </c>
      <c r="B87" s="161"/>
      <c r="C87" s="161"/>
      <c r="D87" s="161"/>
      <c r="E87" s="166"/>
      <c r="O87" s="49"/>
    </row>
    <row r="88" spans="1:15" x14ac:dyDescent="0.2">
      <c r="A88" s="161" t="s">
        <v>103</v>
      </c>
      <c r="B88" s="161" t="s">
        <v>339</v>
      </c>
      <c r="C88" s="161"/>
      <c r="D88" s="161">
        <f ca="1">MIN(B38,B39)*2</f>
        <v>250</v>
      </c>
      <c r="E88" s="161" t="b">
        <f>$B$14=A88</f>
        <v>0</v>
      </c>
      <c r="O88" s="49"/>
    </row>
    <row r="89" spans="1:15" x14ac:dyDescent="0.2">
      <c r="A89" s="161"/>
      <c r="B89" s="161" t="s">
        <v>340</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175</v>
      </c>
      <c r="V1" s="587"/>
      <c r="W1" s="586" t="s">
        <v>179</v>
      </c>
      <c r="X1" s="586"/>
      <c r="Y1" s="586"/>
      <c r="Z1" s="586"/>
      <c r="AA1" s="586" t="s">
        <v>184</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44404.75</v>
      </c>
      <c r="C4" s="497">
        <f>start_peasants+TblMili[[#This Row],[Release Draft]]+MIN(13,days_late)*days_late_peasants</f>
        <v>1300</v>
      </c>
      <c r="D4" s="124">
        <f ca="1">TblMili[[#This Row],[Military]]</f>
        <v>300</v>
      </c>
      <c r="E4" s="124">
        <f ca="1">TblMili[[#This Row],[Draftees]]</f>
        <v>250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250</v>
      </c>
      <c r="M4" s="183">
        <f>TblMili[[#This Row],[Unit 1]]</f>
        <v>0</v>
      </c>
      <c r="N4" s="183">
        <f>TblMili[[#This Row],[Unit 2]]</f>
        <v>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44404.791666666664</v>
      </c>
      <c r="C5" s="124">
        <f ca="1">OFFSET(TblPop[[#This Row],[Peasants]],-1,0)+OFFSET(TblPop[[#This Row],[Net Peasant]],-1,0)+TblMili[[#This Row],[Release Draft]]</f>
        <v>1326</v>
      </c>
      <c r="D5" s="124">
        <f ca="1">TblMili[[#This Row],[Military]]</f>
        <v>313</v>
      </c>
      <c r="E5" s="124">
        <f ca="1">TblMili[[#This Row],[Draftees]]</f>
        <v>263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263</v>
      </c>
      <c r="M5" s="183">
        <f ca="1">TblMili[[#This Row],[Unit 1]]</f>
        <v>0</v>
      </c>
      <c r="N5" s="183">
        <f ca="1">TblMili[[#This Row],[Unit 2]]</f>
        <v>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3178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44404.833333333328</v>
      </c>
      <c r="C6" s="124">
        <f ca="1">OFFSET(TblPop[[#This Row],[Peasants]],-1,0)+OFFSET(TblPop[[#This Row],[Net Peasant]],-1,0)+TblMili[[#This Row],[Release Draft]]</f>
        <v>1352</v>
      </c>
      <c r="D6" s="124">
        <f ca="1">TblMili[[#This Row],[Military]]</f>
        <v>326</v>
      </c>
      <c r="E6" s="124">
        <f ca="1">TblMili[[#This Row],[Draftees]]</f>
        <v>276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276</v>
      </c>
      <c r="M6" s="183">
        <f ca="1">TblMili[[#This Row],[Unit 1]]</f>
        <v>0</v>
      </c>
      <c r="N6" s="183">
        <f ca="1">TblMili[[#This Row],[Unit 2]]</f>
        <v>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3178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44404.874999999993</v>
      </c>
      <c r="C7" s="124">
        <f ca="1">OFFSET(TblPop[[#This Row],[Peasants]],-1,0)+OFFSET(TblPop[[#This Row],[Net Peasant]],-1,0)+TblMili[[#This Row],[Release Draft]]</f>
        <v>1378</v>
      </c>
      <c r="D7" s="124">
        <f ca="1">TblMili[[#This Row],[Military]]</f>
        <v>340</v>
      </c>
      <c r="E7" s="124">
        <f ca="1">TblMili[[#This Row],[Draftees]]</f>
        <v>290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290</v>
      </c>
      <c r="M7" s="183">
        <f ca="1">TblMili[[#This Row],[Unit 1]]</f>
        <v>0</v>
      </c>
      <c r="N7" s="183">
        <f ca="1">TblMili[[#This Row],[Unit 2]]</f>
        <v>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3178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44404.916666666657</v>
      </c>
      <c r="C8" s="124">
        <f ca="1">OFFSET(TblPop[[#This Row],[Peasants]],-1,0)+OFFSET(TblPop[[#This Row],[Net Peasant]],-1,0)+TblMili[[#This Row],[Release Draft]]</f>
        <v>1405</v>
      </c>
      <c r="D8" s="124">
        <f ca="1">TblMili[[#This Row],[Military]]</f>
        <v>354</v>
      </c>
      <c r="E8" s="124">
        <f ca="1">TblMili[[#This Row],[Draftees]]</f>
        <v>304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304</v>
      </c>
      <c r="M8" s="183">
        <f ca="1">TblMili[[#This Row],[Unit 1]]</f>
        <v>0</v>
      </c>
      <c r="N8" s="183">
        <f ca="1">TblMili[[#This Row],[Unit 2]]</f>
        <v>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3178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44404.958333333321</v>
      </c>
      <c r="C9" s="124">
        <f ca="1">OFFSET(TblPop[[#This Row],[Peasants]],-1,0)+OFFSET(TblPop[[#This Row],[Net Peasant]],-1,0)+TblMili[[#This Row],[Release Draft]]</f>
        <v>1433</v>
      </c>
      <c r="D9" s="124">
        <f ca="1">TblMili[[#This Row],[Military]]</f>
        <v>368</v>
      </c>
      <c r="E9" s="124">
        <f ca="1">TblMili[[#This Row],[Draftees]]</f>
        <v>318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318</v>
      </c>
      <c r="M9" s="183">
        <f ca="1">TblMili[[#This Row],[Unit 1]]</f>
        <v>0</v>
      </c>
      <c r="N9" s="183">
        <f ca="1">TblMili[[#This Row],[Unit 2]]</f>
        <v>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3178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44404.999999999985</v>
      </c>
      <c r="C10" s="124">
        <f ca="1">OFFSET(TblPop[[#This Row],[Peasants]],-1,0)+OFFSET(TblPop[[#This Row],[Net Peasant]],-1,0)+TblMili[[#This Row],[Release Draft]]</f>
        <v>1462</v>
      </c>
      <c r="D10" s="124">
        <f ca="1">TblMili[[#This Row],[Military]]</f>
        <v>382</v>
      </c>
      <c r="E10" s="124">
        <f ca="1">TblMili[[#This Row],[Draftees]]</f>
        <v>332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332</v>
      </c>
      <c r="M10" s="183">
        <f ca="1">TblMili[[#This Row],[Unit 1]]</f>
        <v>0</v>
      </c>
      <c r="N10" s="183">
        <f ca="1">TblMili[[#This Row],[Unit 2]]</f>
        <v>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3178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44405.04166666665</v>
      </c>
      <c r="C11" s="124">
        <f ca="1">OFFSET(TblPop[[#This Row],[Peasants]],-1,0)+OFFSET(TblPop[[#This Row],[Net Peasant]],-1,0)+TblMili[[#This Row],[Release Draft]]</f>
        <v>1490</v>
      </c>
      <c r="D11" s="124">
        <f ca="1">TblMili[[#This Row],[Military]]</f>
        <v>397</v>
      </c>
      <c r="E11" s="124">
        <f ca="1">TblMili[[#This Row],[Draftees]]</f>
        <v>347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347</v>
      </c>
      <c r="M11" s="183">
        <f ca="1">TblMili[[#This Row],[Unit 1]]</f>
        <v>0</v>
      </c>
      <c r="N11" s="183">
        <f ca="1">TblMili[[#This Row],[Unit 2]]</f>
        <v>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3178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44405.083333333314</v>
      </c>
      <c r="C12" s="124">
        <f ca="1">OFFSET(TblPop[[#This Row],[Peasants]],-1,0)+OFFSET(TblPop[[#This Row],[Net Peasant]],-1,0)+TblMili[[#This Row],[Release Draft]]</f>
        <v>1519</v>
      </c>
      <c r="D12" s="124">
        <f ca="1">TblMili[[#This Row],[Military]]</f>
        <v>412</v>
      </c>
      <c r="E12" s="124">
        <f ca="1">TblMili[[#This Row],[Draftees]]</f>
        <v>362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362</v>
      </c>
      <c r="M12" s="183">
        <f ca="1">TblMili[[#This Row],[Unit 1]]</f>
        <v>0</v>
      </c>
      <c r="N12" s="183">
        <f ca="1">TblMili[[#This Row],[Unit 2]]</f>
        <v>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3178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44405.124999999978</v>
      </c>
      <c r="C13" s="124">
        <f ca="1">OFFSET(TblPop[[#This Row],[Peasants]],-1,0)+OFFSET(TblPop[[#This Row],[Net Peasant]],-1,0)+TblMili[[#This Row],[Release Draft]]</f>
        <v>1549</v>
      </c>
      <c r="D13" s="124">
        <f ca="1">TblMili[[#This Row],[Military]]</f>
        <v>427</v>
      </c>
      <c r="E13" s="124">
        <f ca="1">TblMili[[#This Row],[Draftees]]</f>
        <v>377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377</v>
      </c>
      <c r="M13" s="183">
        <f ca="1">TblMili[[#This Row],[Unit 1]]</f>
        <v>0</v>
      </c>
      <c r="N13" s="183">
        <f ca="1">TblMili[[#This Row],[Unit 2]]</f>
        <v>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3178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44405.166666666642</v>
      </c>
      <c r="C14" s="124">
        <f ca="1">OFFSET(TblPop[[#This Row],[Peasants]],-1,0)+OFFSET(TblPop[[#This Row],[Net Peasant]],-1,0)+TblMili[[#This Row],[Release Draft]]</f>
        <v>1580</v>
      </c>
      <c r="D14" s="124">
        <f ca="1">TblMili[[#This Row],[Military]]</f>
        <v>442</v>
      </c>
      <c r="E14" s="124">
        <f ca="1">TblMili[[#This Row],[Draftees]]</f>
        <v>392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392</v>
      </c>
      <c r="M14" s="183">
        <f ca="1">TblMili[[#This Row],[Unit 1]]</f>
        <v>0</v>
      </c>
      <c r="N14" s="183">
        <f ca="1">TblMili[[#This Row],[Unit 2]]</f>
        <v>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3178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44405.208333333307</v>
      </c>
      <c r="C15" s="124">
        <f ca="1">OFFSET(TblPop[[#This Row],[Peasants]],-1,0)+OFFSET(TblPop[[#This Row],[Net Peasant]],-1,0)+TblMili[[#This Row],[Release Draft]]</f>
        <v>1611</v>
      </c>
      <c r="D15" s="124">
        <f ca="1">TblMili[[#This Row],[Military]]</f>
        <v>458</v>
      </c>
      <c r="E15" s="124">
        <f ca="1">TblMili[[#This Row],[Draftees]]</f>
        <v>408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1</v>
      </c>
      <c r="J15" s="181">
        <f ca="1">SUM(TblConstr[[#This Row],[Tot Alc]:[Tot GT]],TblConstr[[#This Row],[Tot Shr]:[Tot Doc]],TblConstr[[#This Row],[Dest Alc]:[Dest GT]],TblConstr[[#This Row],[Dest Shr]:[Dest Doc]])*building_employment</f>
        <v>1600</v>
      </c>
      <c r="K15" s="182"/>
      <c r="L15" s="183">
        <f ca="1">TblPop[[#This Row],[Draftees]]</f>
        <v>408</v>
      </c>
      <c r="M15" s="183">
        <f ca="1">TblMili[[#This Row],[Unit 1]]</f>
        <v>0</v>
      </c>
      <c r="N15" s="183">
        <f ca="1">TblMili[[#This Row],[Unit 2]]</f>
        <v>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3178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5" s="124">
        <f ca="1">MAX(-5%*TblPop[[#This Row],[Peasants]]-TblPop[[#This Row],[Draft Growth]],MIN(OFFSET(TblPop[[#This Row],[Net max]],1,0)-TblPop[[#This Row],[Peasants]]-TblPop[[#This Row],[Military]]-TblPop[[#This Row],[Draft Growth]],TblPop[[#This Row],[Modded Birth]]-TblPop[[#This Row],[Draft Growth]]))</f>
        <v>55</v>
      </c>
      <c r="X15" s="124">
        <f ca="1">ROUND(TblPop[[#This Row],[Raw Birth]]*(1+TblPop[[#This Row],[Growth]]),0)</f>
        <v>71</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0.48</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44405.249999999971</v>
      </c>
      <c r="C16" s="124">
        <f ca="1">OFFSET(TblPop[[#This Row],[Peasants]],-1,0)+OFFSET(TblPop[[#This Row],[Net Peasant]],-1,0)+TblMili[[#This Row],[Release Draft]]</f>
        <v>1666</v>
      </c>
      <c r="D16" s="124">
        <f ca="1">TblMili[[#This Row],[Military]]</f>
        <v>358</v>
      </c>
      <c r="E16" s="124">
        <f ca="1">TblMili[[#This Row],[Draftees]]</f>
        <v>308</v>
      </c>
      <c r="F16" s="124">
        <f ca="1">TblPop[[#This Row],[Peasants]]+TblPop[[#This Row],[Military]]</f>
        <v>2024</v>
      </c>
      <c r="G16" s="180">
        <f ca="1">TblPop[[#This Row],[Military]]/TblPop[[#This Row],[Total]]</f>
        <v>0.17687747035573123</v>
      </c>
      <c r="H16" s="181">
        <f ca="1">MIN(TblPop[[#This Row],[Peasants]],TblPop[[#This Row],[Jobs]])</f>
        <v>1666</v>
      </c>
      <c r="I16" s="180">
        <f ca="1">MIN(OFFSET(TblPop[[#This Row],[Jobs]],1,0)/TblPop[[#This Row],[Peasants]],1)</f>
        <v>1</v>
      </c>
      <c r="J16" s="181">
        <f ca="1">SUM(TblConstr[[#This Row],[Tot Alc]:[Tot GT]],TblConstr[[#This Row],[Tot Shr]:[Tot Doc]],TblConstr[[#This Row],[Dest Alc]:[Dest GT]],TblConstr[[#This Row],[Dest Shr]:[Dest Doc]])*building_employment</f>
        <v>3200</v>
      </c>
      <c r="K16" s="182"/>
      <c r="L16" s="183">
        <f ca="1">TblPop[[#This Row],[Draftees]]</f>
        <v>308</v>
      </c>
      <c r="M16" s="183">
        <f ca="1">TblMili[[#This Row],[Unit 1]]</f>
        <v>0</v>
      </c>
      <c r="N16" s="183">
        <f ca="1">TblMili[[#This Row],[Unit 2]]</f>
        <v>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3178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6" s="124">
        <f ca="1">MAX(-5%*TblPop[[#This Row],[Peasants]]-TblPop[[#This Row],[Draft Growth]],MIN(OFFSET(TblPop[[#This Row],[Net max]],1,0)-TblPop[[#This Row],[Peasants]]-TblPop[[#This Row],[Military]]-TblPop[[#This Row],[Draft Growth]],TblPop[[#This Row],[Modded Birth]]-TblPop[[#This Row],[Draft Growth]]))</f>
        <v>56</v>
      </c>
      <c r="X16" s="124">
        <f ca="1">ROUND(TblPop[[#This Row],[Raw Birth]]*(1+TblPop[[#This Row],[Growth]]),0)</f>
        <v>73</v>
      </c>
      <c r="Y16" s="124">
        <f ca="1">(TblPop[[#This Row],[Peasants]]-TblPop[[#This Row],[Draft Growth]])*raw_pop_growth</f>
        <v>49.47</v>
      </c>
      <c r="Z16" s="124">
        <f ca="1">IF(TblPop[[#This Row],[Military%]]&lt;TblMili[[#This Row],[Draftrate]],ROUND(TblPop[[#This Row],[Peasants]]*Constants!$B$53,0), 0)</f>
        <v>17</v>
      </c>
      <c r="AA16" s="184"/>
      <c r="AB16" s="185">
        <f ca="1">Overview!$I$16 + IF(Magic!AD16&gt;0,Constants!$F$77) + ROUND(6*(Construction!BM17+Construction!CK16)/IF(Explore!S17&gt;0,Construction!F17-20,Construction!F17),4) + tech_6_5_2*Techs!BJ16 + tech_8_4*Techs!BT16</f>
        <v>0.48</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44405.291666666635</v>
      </c>
      <c r="C17" s="124">
        <f ca="1">OFFSET(TblPop[[#This Row],[Peasants]],-1,0)+OFFSET(TblPop[[#This Row],[Net Peasant]],-1,0)+TblMili[[#This Row],[Release Draft]]</f>
        <v>1722</v>
      </c>
      <c r="D17" s="124">
        <f ca="1">TblMili[[#This Row],[Military]]</f>
        <v>375</v>
      </c>
      <c r="E17" s="124">
        <f ca="1">TblMili[[#This Row],[Draftees]]</f>
        <v>325</v>
      </c>
      <c r="F17" s="124">
        <f ca="1">TblPop[[#This Row],[Peasants]]+TblPop[[#This Row],[Military]]</f>
        <v>2097</v>
      </c>
      <c r="G17" s="180">
        <f ca="1">TblPop[[#This Row],[Military]]/TblPop[[#This Row],[Total]]</f>
        <v>0.17882689556509299</v>
      </c>
      <c r="H17" s="181">
        <f ca="1">MIN(TblPop[[#This Row],[Peasants]],TblPop[[#This Row],[Jobs]])</f>
        <v>1722</v>
      </c>
      <c r="I17" s="180">
        <f ca="1">MIN(OFFSET(TblPop[[#This Row],[Jobs]],1,0)/TblPop[[#This Row],[Peasants]],1)</f>
        <v>1</v>
      </c>
      <c r="J17" s="181">
        <f ca="1">SUM(TblConstr[[#This Row],[Tot Alc]:[Tot GT]],TblConstr[[#This Row],[Tot Shr]:[Tot Doc]],TblConstr[[#This Row],[Dest Alc]:[Dest GT]],TblConstr[[#This Row],[Dest Shr]:[Dest Doc]])*building_employment</f>
        <v>3200</v>
      </c>
      <c r="K17" s="182"/>
      <c r="L17" s="183">
        <f ca="1">TblPop[[#This Row],[Draftees]]</f>
        <v>325</v>
      </c>
      <c r="M17" s="183">
        <f ca="1">TblMili[[#This Row],[Unit 1]]</f>
        <v>0</v>
      </c>
      <c r="N17" s="183">
        <f ca="1">TblMili[[#This Row],[Unit 2]]</f>
        <v>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3998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17" s="124">
        <f ca="1">MAX(-5%*TblPop[[#This Row],[Peasants]]-TblPop[[#This Row],[Draft Growth]],MIN(OFFSET(TblPop[[#This Row],[Net max]],1,0)-TblPop[[#This Row],[Peasants]]-TblPop[[#This Row],[Military]]-TblPop[[#This Row],[Draft Growth]],TblPop[[#This Row],[Modded Birth]]-TblPop[[#This Row],[Draft Growth]]))</f>
        <v>84</v>
      </c>
      <c r="X17" s="124">
        <f ca="1">ROUND(TblPop[[#This Row],[Raw Birth]]*(1+TblPop[[#This Row],[Growth]]),0)</f>
        <v>101</v>
      </c>
      <c r="Y17" s="124">
        <f ca="1">(TblPop[[#This Row],[Peasants]]-TblPop[[#This Row],[Draft Growth]])*raw_pop_growth</f>
        <v>51.15</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0.98</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44405.333333333299</v>
      </c>
      <c r="C18" s="124">
        <f ca="1">OFFSET(TblPop[[#This Row],[Peasants]],-1,0)+OFFSET(TblPop[[#This Row],[Net Peasant]],-1,0)+TblMili[[#This Row],[Release Draft]]</f>
        <v>1806</v>
      </c>
      <c r="D18" s="124">
        <f ca="1">TblMili[[#This Row],[Military]]</f>
        <v>392</v>
      </c>
      <c r="E18" s="124">
        <f ca="1">TblMili[[#This Row],[Draftees]]</f>
        <v>342</v>
      </c>
      <c r="F18" s="124">
        <f ca="1">TblPop[[#This Row],[Peasants]]+TblPop[[#This Row],[Military]]</f>
        <v>2198</v>
      </c>
      <c r="G18" s="180">
        <f ca="1">TblPop[[#This Row],[Military]]/TblPop[[#This Row],[Total]]</f>
        <v>0.17834394904458598</v>
      </c>
      <c r="H18" s="181">
        <f ca="1">MIN(TblPop[[#This Row],[Peasants]],TblPop[[#This Row],[Jobs]])</f>
        <v>1806</v>
      </c>
      <c r="I18" s="180">
        <f ca="1">MIN(OFFSET(TblPop[[#This Row],[Jobs]],1,0)/TblPop[[#This Row],[Peasants]],1)</f>
        <v>1</v>
      </c>
      <c r="J18" s="181">
        <f ca="1">SUM(TblConstr[[#This Row],[Tot Alc]:[Tot GT]],TblConstr[[#This Row],[Tot Shr]:[Tot Doc]],TblConstr[[#This Row],[Dest Alc]:[Dest GT]],TblConstr[[#This Row],[Dest Shr]:[Dest Doc]])*building_employment</f>
        <v>3200</v>
      </c>
      <c r="K18" s="182"/>
      <c r="L18" s="183">
        <f ca="1">TblPop[[#This Row],[Draftees]]</f>
        <v>342</v>
      </c>
      <c r="M18" s="183">
        <f ca="1">TblMili[[#This Row],[Unit 1]]</f>
        <v>0</v>
      </c>
      <c r="N18" s="183">
        <f ca="1">TblMili[[#This Row],[Unit 2]]</f>
        <v>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3998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18" s="124">
        <f ca="1">MAX(-5%*TblPop[[#This Row],[Peasants]]-TblPop[[#This Row],[Draft Growth]],MIN(OFFSET(TblPop[[#This Row],[Net max]],1,0)-TblPop[[#This Row],[Peasants]]-TblPop[[#This Row],[Military]]-TblPop[[#This Row],[Draft Growth]],TblPop[[#This Row],[Modded Birth]]-TblPop[[#This Row],[Draft Growth]]))</f>
        <v>88</v>
      </c>
      <c r="X18" s="124">
        <f ca="1">ROUND(TblPop[[#This Row],[Raw Birth]]*(1+TblPop[[#This Row],[Growth]]),0)</f>
        <v>106</v>
      </c>
      <c r="Y18" s="124">
        <f ca="1">(TblPop[[#This Row],[Peasants]]-TblPop[[#This Row],[Draft Growth]])*raw_pop_growth</f>
        <v>53.64</v>
      </c>
      <c r="Z18" s="124">
        <f ca="1">IF(TblPop[[#This Row],[Military%]]&lt;TblMili[[#This Row],[Draftrate]],ROUND(TblPop[[#This Row],[Peasants]]*Constants!$B$53,0), 0)</f>
        <v>18</v>
      </c>
      <c r="AA18" s="184"/>
      <c r="AB18" s="185">
        <f ca="1">Overview!$I$16 + IF(Magic!AD18&gt;0,Constants!$F$77) + ROUND(6*(Construction!BM19+Construction!CK18)/IF(Explore!S19&gt;0,Construction!F19-20,Construction!F19),4) + tech_6_5_2*Techs!BJ18 + tech_8_4*Techs!BT18</f>
        <v>0.98</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44405.374999999964</v>
      </c>
      <c r="C19" s="124">
        <f ca="1">OFFSET(TblPop[[#This Row],[Peasants]],-1,0)+OFFSET(TblPop[[#This Row],[Net Peasant]],-1,0)+TblMili[[#This Row],[Release Draft]]</f>
        <v>1894</v>
      </c>
      <c r="D19" s="124">
        <f ca="1">TblMili[[#This Row],[Military]]</f>
        <v>410</v>
      </c>
      <c r="E19" s="124">
        <f ca="1">TblMili[[#This Row],[Draftees]]</f>
        <v>360</v>
      </c>
      <c r="F19" s="124">
        <f ca="1">TblPop[[#This Row],[Peasants]]+TblPop[[#This Row],[Military]]</f>
        <v>2304</v>
      </c>
      <c r="G19" s="180">
        <f ca="1">TblPop[[#This Row],[Military]]/TblPop[[#This Row],[Total]]</f>
        <v>0.1779513888888889</v>
      </c>
      <c r="H19" s="181">
        <f ca="1">MIN(TblPop[[#This Row],[Peasants]],TblPop[[#This Row],[Jobs]])</f>
        <v>1894</v>
      </c>
      <c r="I19" s="180">
        <f ca="1">MIN(OFFSET(TblPop[[#This Row],[Jobs]],1,0)/TblPop[[#This Row],[Peasants]],1)</f>
        <v>1</v>
      </c>
      <c r="J19" s="181">
        <f ca="1">SUM(TblConstr[[#This Row],[Tot Alc]:[Tot GT]],TblConstr[[#This Row],[Tot Shr]:[Tot Doc]],TblConstr[[#This Row],[Dest Alc]:[Dest GT]],TblConstr[[#This Row],[Dest Shr]:[Dest Doc]])*building_employment</f>
        <v>3200</v>
      </c>
      <c r="K19" s="182"/>
      <c r="L19" s="183">
        <f ca="1">TblPop[[#This Row],[Draftees]]</f>
        <v>360</v>
      </c>
      <c r="M19" s="183">
        <f ca="1">TblMili[[#This Row],[Unit 1]]</f>
        <v>0</v>
      </c>
      <c r="N19" s="183">
        <f ca="1">TblMili[[#This Row],[Unit 2]]</f>
        <v>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3998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19" s="124">
        <f ca="1">MAX(-5%*TblPop[[#This Row],[Peasants]]-TblPop[[#This Row],[Draft Growth]],MIN(OFFSET(TblPop[[#This Row],[Net max]],1,0)-TblPop[[#This Row],[Peasants]]-TblPop[[#This Row],[Military]]-TblPop[[#This Row],[Draft Growth]],TblPop[[#This Row],[Modded Birth]]-TblPop[[#This Row],[Draft Growth]]))</f>
        <v>92</v>
      </c>
      <c r="X19" s="124">
        <f ca="1">ROUND(TblPop[[#This Row],[Raw Birth]]*(1+TblPop[[#This Row],[Growth]]),0)</f>
        <v>111</v>
      </c>
      <c r="Y19" s="124">
        <f ca="1">(TblPop[[#This Row],[Peasants]]-TblPop[[#This Row],[Draft Growth]])*raw_pop_growth</f>
        <v>56.25</v>
      </c>
      <c r="Z19" s="124">
        <f ca="1">IF(TblPop[[#This Row],[Military%]]&lt;TblMili[[#This Row],[Draftrate]],ROUND(TblPop[[#This Row],[Peasants]]*Constants!$B$53,0), 0)</f>
        <v>19</v>
      </c>
      <c r="AA19" s="184"/>
      <c r="AB19" s="185">
        <f ca="1">Overview!$I$16 + IF(Magic!AD19&gt;0,Constants!$F$77) + ROUND(6*(Construction!BM20+Construction!CK19)/IF(Explore!S20&gt;0,Construction!F20-20,Construction!F20),4) + tech_6_5_2*Techs!BJ19 + tech_8_4*Techs!BT19</f>
        <v>0.98</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44405.416666666628</v>
      </c>
      <c r="C20" s="124">
        <f ca="1">OFFSET(TblPop[[#This Row],[Peasants]],-1,0)+OFFSET(TblPop[[#This Row],[Net Peasant]],-1,0)+TblMili[[#This Row],[Release Draft]]</f>
        <v>1986</v>
      </c>
      <c r="D20" s="124">
        <f ca="1">TblMili[[#This Row],[Military]]</f>
        <v>429</v>
      </c>
      <c r="E20" s="124">
        <f ca="1">TblMili[[#This Row],[Draftees]]</f>
        <v>379</v>
      </c>
      <c r="F20" s="124">
        <f ca="1">TblPop[[#This Row],[Peasants]]+TblPop[[#This Row],[Military]]</f>
        <v>2415</v>
      </c>
      <c r="G20" s="180">
        <f ca="1">TblPop[[#This Row],[Military]]/TblPop[[#This Row],[Total]]</f>
        <v>0.17763975155279504</v>
      </c>
      <c r="H20" s="181">
        <f ca="1">MIN(TblPop[[#This Row],[Peasants]],TblPop[[#This Row],[Jobs]])</f>
        <v>1986</v>
      </c>
      <c r="I20" s="180">
        <f ca="1">MIN(OFFSET(TblPop[[#This Row],[Jobs]],1,0)/TblPop[[#This Row],[Peasants]],1)</f>
        <v>1</v>
      </c>
      <c r="J20" s="181">
        <f ca="1">SUM(TblConstr[[#This Row],[Tot Alc]:[Tot GT]],TblConstr[[#This Row],[Tot Shr]:[Tot Doc]],TblConstr[[#This Row],[Dest Alc]:[Dest GT]],TblConstr[[#This Row],[Dest Shr]:[Dest Doc]])*building_employment</f>
        <v>3200</v>
      </c>
      <c r="K20" s="182"/>
      <c r="L20" s="183">
        <f ca="1">TblPop[[#This Row],[Draftees]]</f>
        <v>379</v>
      </c>
      <c r="M20" s="183">
        <f ca="1">TblMili[[#This Row],[Unit 1]]</f>
        <v>0</v>
      </c>
      <c r="N20" s="183">
        <f ca="1">TblMili[[#This Row],[Unit 2]]</f>
        <v>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3998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0" s="124">
        <f ca="1">MAX(-5%*TblPop[[#This Row],[Peasants]]-TblPop[[#This Row],[Draft Growth]],MIN(OFFSET(TblPop[[#This Row],[Net max]],1,0)-TblPop[[#This Row],[Peasants]]-TblPop[[#This Row],[Military]]-TblPop[[#This Row],[Draft Growth]],TblPop[[#This Row],[Modded Birth]]-TblPop[[#This Row],[Draft Growth]]))</f>
        <v>97</v>
      </c>
      <c r="X20" s="124">
        <f ca="1">ROUND(TblPop[[#This Row],[Raw Birth]]*(1+TblPop[[#This Row],[Growth]]),0)</f>
        <v>117</v>
      </c>
      <c r="Y20" s="124">
        <f ca="1">(TblPop[[#This Row],[Peasants]]-TblPop[[#This Row],[Draft Growth]])*raw_pop_growth</f>
        <v>58.98</v>
      </c>
      <c r="Z20" s="124">
        <f ca="1">IF(TblPop[[#This Row],[Military%]]&lt;TblMili[[#This Row],[Draftrate]],ROUND(TblPop[[#This Row],[Peasants]]*Constants!$B$53,0), 0)</f>
        <v>20</v>
      </c>
      <c r="AA20" s="184"/>
      <c r="AB20" s="185">
        <f ca="1">Overview!$I$16 + IF(Magic!AD20&gt;0,Constants!$F$77) + ROUND(6*(Construction!BM21+Construction!CK20)/IF(Explore!S21&gt;0,Construction!F21-20,Construction!F21),4) + tech_6_5_2*Techs!BJ20 + tech_8_4*Techs!BT20</f>
        <v>0.98</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44405.458333333292</v>
      </c>
      <c r="C21" s="124">
        <f ca="1">OFFSET(TblPop[[#This Row],[Peasants]],-1,0)+OFFSET(TblPop[[#This Row],[Net Peasant]],-1,0)+TblMili[[#This Row],[Release Draft]]</f>
        <v>2083</v>
      </c>
      <c r="D21" s="124">
        <f ca="1">TblMili[[#This Row],[Military]]</f>
        <v>449</v>
      </c>
      <c r="E21" s="124">
        <f ca="1">TblMili[[#This Row],[Draftees]]</f>
        <v>399</v>
      </c>
      <c r="F21" s="124">
        <f ca="1">TblPop[[#This Row],[Peasants]]+TblPop[[#This Row],[Military]]</f>
        <v>2532</v>
      </c>
      <c r="G21" s="180">
        <f ca="1">TblPop[[#This Row],[Military]]/TblPop[[#This Row],[Total]]</f>
        <v>0.1773301737756714</v>
      </c>
      <c r="H21" s="181">
        <f ca="1">MIN(TblPop[[#This Row],[Peasants]],TblPop[[#This Row],[Jobs]])</f>
        <v>2083</v>
      </c>
      <c r="I21" s="180">
        <f ca="1">MIN(OFFSET(TblPop[[#This Row],[Jobs]],1,0)/TblPop[[#This Row],[Peasants]],1)</f>
        <v>1</v>
      </c>
      <c r="J21" s="181">
        <f ca="1">SUM(TblConstr[[#This Row],[Tot Alc]:[Tot GT]],TblConstr[[#This Row],[Tot Shr]:[Tot Doc]],TblConstr[[#This Row],[Dest Alc]:[Dest GT]],TblConstr[[#This Row],[Dest Shr]:[Dest Doc]])*building_employment</f>
        <v>3200</v>
      </c>
      <c r="K21" s="182"/>
      <c r="L21" s="183">
        <f ca="1">TblPop[[#This Row],[Draftees]]</f>
        <v>399</v>
      </c>
      <c r="M21" s="183">
        <f ca="1">TblMili[[#This Row],[Unit 1]]</f>
        <v>0</v>
      </c>
      <c r="N21" s="183">
        <f ca="1">TblMili[[#This Row],[Unit 2]]</f>
        <v>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3998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1" s="124">
        <f ca="1">MAX(-5%*TblPop[[#This Row],[Peasants]]-TblPop[[#This Row],[Draft Growth]],MIN(OFFSET(TblPop[[#This Row],[Net max]],1,0)-TblPop[[#This Row],[Peasants]]-TblPop[[#This Row],[Military]]-TblPop[[#This Row],[Draft Growth]],TblPop[[#This Row],[Modded Birth]]-TblPop[[#This Row],[Draft Growth]]))</f>
        <v>101</v>
      </c>
      <c r="X21" s="124">
        <f ca="1">ROUND(TblPop[[#This Row],[Raw Birth]]*(1+TblPop[[#This Row],[Growth]]),0)</f>
        <v>122</v>
      </c>
      <c r="Y21" s="124">
        <f ca="1">(TblPop[[#This Row],[Peasants]]-TblPop[[#This Row],[Draft Growth]])*raw_pop_growth</f>
        <v>61.86</v>
      </c>
      <c r="Z21" s="124">
        <f ca="1">IF(TblPop[[#This Row],[Military%]]&lt;TblMili[[#This Row],[Draftrate]],ROUND(TblPop[[#This Row],[Peasants]]*Constants!$B$53,0), 0)</f>
        <v>21</v>
      </c>
      <c r="AA21" s="184"/>
      <c r="AB21" s="185">
        <f ca="1">Overview!$I$16 + IF(Magic!AD21&gt;0,Constants!$F$77) + ROUND(6*(Construction!BM22+Construction!CK21)/IF(Explore!S22&gt;0,Construction!F22-20,Construction!F22),4) + tech_6_5_2*Techs!BJ21 + tech_8_4*Techs!BT21</f>
        <v>0.98</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44405.499999999956</v>
      </c>
      <c r="C22" s="124">
        <f ca="1">OFFSET(TblPop[[#This Row],[Peasants]],-1,0)+OFFSET(TblPop[[#This Row],[Net Peasant]],-1,0)+TblMili[[#This Row],[Release Draft]]</f>
        <v>2184</v>
      </c>
      <c r="D22" s="124">
        <f ca="1">TblMili[[#This Row],[Military]]</f>
        <v>470</v>
      </c>
      <c r="E22" s="124">
        <f ca="1">TblMili[[#This Row],[Draftees]]</f>
        <v>420</v>
      </c>
      <c r="F22" s="124">
        <f ca="1">TblPop[[#This Row],[Peasants]]+TblPop[[#This Row],[Military]]</f>
        <v>2654</v>
      </c>
      <c r="G22" s="180">
        <f ca="1">TblPop[[#This Row],[Military]]/TblPop[[#This Row],[Total]]</f>
        <v>0.17709118311981914</v>
      </c>
      <c r="H22" s="181">
        <f ca="1">MIN(TblPop[[#This Row],[Peasants]],TblPop[[#This Row],[Jobs]])</f>
        <v>2184</v>
      </c>
      <c r="I22" s="180">
        <f ca="1">MIN(OFFSET(TblPop[[#This Row],[Jobs]],1,0)/TblPop[[#This Row],[Peasants]],1)</f>
        <v>1</v>
      </c>
      <c r="J22" s="181">
        <f ca="1">SUM(TblConstr[[#This Row],[Tot Alc]:[Tot GT]],TblConstr[[#This Row],[Tot Shr]:[Tot Doc]],TblConstr[[#This Row],[Dest Alc]:[Dest GT]],TblConstr[[#This Row],[Dest Shr]:[Dest Doc]])*building_employment</f>
        <v>3200</v>
      </c>
      <c r="K22" s="182"/>
      <c r="L22" s="183">
        <f ca="1">TblPop[[#This Row],[Draftees]]</f>
        <v>420</v>
      </c>
      <c r="M22" s="183">
        <f ca="1">TblMili[[#This Row],[Unit 1]]</f>
        <v>0</v>
      </c>
      <c r="N22" s="183">
        <f ca="1">TblMili[[#This Row],[Unit 2]]</f>
        <v>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3998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2" s="124">
        <f ca="1">MAX(-5%*TblPop[[#This Row],[Peasants]]-TblPop[[#This Row],[Draft Growth]],MIN(OFFSET(TblPop[[#This Row],[Net max]],1,0)-TblPop[[#This Row],[Peasants]]-TblPop[[#This Row],[Military]]-TblPop[[#This Row],[Draft Growth]],TblPop[[#This Row],[Modded Birth]]-TblPop[[#This Row],[Draft Growth]]))</f>
        <v>106</v>
      </c>
      <c r="X22" s="124">
        <f ca="1">ROUND(TblPop[[#This Row],[Raw Birth]]*(1+TblPop[[#This Row],[Growth]]),0)</f>
        <v>128</v>
      </c>
      <c r="Y22" s="124">
        <f ca="1">(TblPop[[#This Row],[Peasants]]-TblPop[[#This Row],[Draft Growth]])*raw_pop_growth</f>
        <v>64.86</v>
      </c>
      <c r="Z22" s="124">
        <f ca="1">IF(TblPop[[#This Row],[Military%]]&lt;TblMili[[#This Row],[Draftrate]],ROUND(TblPop[[#This Row],[Peasants]]*Constants!$B$53,0), 0)</f>
        <v>22</v>
      </c>
      <c r="AA22" s="184"/>
      <c r="AB22" s="185">
        <f ca="1">Overview!$I$16 + IF(Magic!AD22&gt;0,Constants!$F$77) + ROUND(6*(Construction!BM23+Construction!CK22)/IF(Explore!S23&gt;0,Construction!F23-20,Construction!F23),4) + tech_6_5_2*Techs!BJ22 + tech_8_4*Techs!BT22</f>
        <v>0.98</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44405.541666666621</v>
      </c>
      <c r="C23" s="124">
        <f ca="1">OFFSET(TblPop[[#This Row],[Peasants]],-1,0)+OFFSET(TblPop[[#This Row],[Net Peasant]],-1,0)+TblMili[[#This Row],[Release Draft]]</f>
        <v>2290</v>
      </c>
      <c r="D23" s="124">
        <f ca="1">TblMili[[#This Row],[Military]]</f>
        <v>492</v>
      </c>
      <c r="E23" s="124">
        <f ca="1">TblMili[[#This Row],[Draftees]]</f>
        <v>442</v>
      </c>
      <c r="F23" s="124">
        <f ca="1">TblPop[[#This Row],[Peasants]]+TblPop[[#This Row],[Military]]</f>
        <v>2782</v>
      </c>
      <c r="G23" s="180">
        <f ca="1">TblPop[[#This Row],[Military]]/TblPop[[#This Row],[Total]]</f>
        <v>0.17685118619698059</v>
      </c>
      <c r="H23" s="181">
        <f ca="1">MIN(TblPop[[#This Row],[Peasants]],TblPop[[#This Row],[Jobs]])</f>
        <v>2290</v>
      </c>
      <c r="I23" s="180">
        <f ca="1">MIN(OFFSET(TblPop[[#This Row],[Jobs]],1,0)/TblPop[[#This Row],[Peasants]],1)</f>
        <v>1</v>
      </c>
      <c r="J23" s="181">
        <f ca="1">SUM(TblConstr[[#This Row],[Tot Alc]:[Tot GT]],TblConstr[[#This Row],[Tot Shr]:[Tot Doc]],TblConstr[[#This Row],[Dest Alc]:[Dest GT]],TblConstr[[#This Row],[Dest Shr]:[Dest Doc]])*building_employment</f>
        <v>3200</v>
      </c>
      <c r="K23" s="182"/>
      <c r="L23" s="183">
        <f ca="1">TblPop[[#This Row],[Draftees]]</f>
        <v>442</v>
      </c>
      <c r="M23" s="183">
        <f ca="1">TblMili[[#This Row],[Unit 1]]</f>
        <v>0</v>
      </c>
      <c r="N23" s="183">
        <f ca="1">TblMili[[#This Row],[Unit 2]]</f>
        <v>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3998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3" s="124">
        <f ca="1">MAX(-5%*TblPop[[#This Row],[Peasants]]-TblPop[[#This Row],[Draft Growth]],MIN(OFFSET(TblPop[[#This Row],[Net max]],1,0)-TblPop[[#This Row],[Peasants]]-TblPop[[#This Row],[Military]]-TblPop[[#This Row],[Draft Growth]],TblPop[[#This Row],[Modded Birth]]-TblPop[[#This Row],[Draft Growth]]))</f>
        <v>112</v>
      </c>
      <c r="X23" s="124">
        <f ca="1">ROUND(TblPop[[#This Row],[Raw Birth]]*(1+TblPop[[#This Row],[Growth]]),0)</f>
        <v>135</v>
      </c>
      <c r="Y23" s="124">
        <f ca="1">(TblPop[[#This Row],[Peasants]]-TblPop[[#This Row],[Draft Growth]])*raw_pop_growth</f>
        <v>68.009999999999991</v>
      </c>
      <c r="Z23" s="124">
        <f ca="1">IF(TblPop[[#This Row],[Military%]]&lt;TblMili[[#This Row],[Draftrate]],ROUND(TblPop[[#This Row],[Peasants]]*Constants!$B$53,0), 0)</f>
        <v>23</v>
      </c>
      <c r="AA23" s="184"/>
      <c r="AB23" s="185">
        <f ca="1">Overview!$I$16 + IF(Magic!AD23&gt;0,Constants!$F$77) + ROUND(6*(Construction!BM24+Construction!CK23)/IF(Explore!S24&gt;0,Construction!F24-20,Construction!F24),4) + tech_6_5_2*Techs!BJ23 + tech_8_4*Techs!BT23</f>
        <v>0.98</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44405.583333333285</v>
      </c>
      <c r="C24" s="124">
        <f ca="1">OFFSET(TblPop[[#This Row],[Peasants]],-1,0)+OFFSET(TblPop[[#This Row],[Net Peasant]],-1,0)+TblMili[[#This Row],[Release Draft]]</f>
        <v>2402</v>
      </c>
      <c r="D24" s="124">
        <f ca="1">TblMili[[#This Row],[Military]]</f>
        <v>515</v>
      </c>
      <c r="E24" s="124">
        <f ca="1">TblMili[[#This Row],[Draftees]]</f>
        <v>465</v>
      </c>
      <c r="F24" s="124">
        <f ca="1">TblPop[[#This Row],[Peasants]]+TblPop[[#This Row],[Military]]</f>
        <v>2917</v>
      </c>
      <c r="G24" s="180">
        <f ca="1">TblPop[[#This Row],[Military]]/TblPop[[#This Row],[Total]]</f>
        <v>0.17655125128556737</v>
      </c>
      <c r="H24" s="181">
        <f ca="1">MIN(TblPop[[#This Row],[Peasants]],TblPop[[#This Row],[Jobs]])</f>
        <v>2402</v>
      </c>
      <c r="I24" s="180">
        <f ca="1">MIN(OFFSET(TblPop[[#This Row],[Jobs]],1,0)/TblPop[[#This Row],[Peasants]],1)</f>
        <v>1</v>
      </c>
      <c r="J24" s="181">
        <f ca="1">SUM(TblConstr[[#This Row],[Tot Alc]:[Tot GT]],TblConstr[[#This Row],[Tot Shr]:[Tot Doc]],TblConstr[[#This Row],[Dest Alc]:[Dest GT]],TblConstr[[#This Row],[Dest Shr]:[Dest Doc]])*building_employment</f>
        <v>3200</v>
      </c>
      <c r="K24" s="182"/>
      <c r="L24" s="183">
        <f ca="1">TblPop[[#This Row],[Draftees]]</f>
        <v>465</v>
      </c>
      <c r="M24" s="183">
        <f ca="1">TblMili[[#This Row],[Unit 1]]</f>
        <v>0</v>
      </c>
      <c r="N24" s="183">
        <f ca="1">TblMili[[#This Row],[Unit 2]]</f>
        <v>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3998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4" s="124">
        <f ca="1">MAX(-5%*TblPop[[#This Row],[Peasants]]-TblPop[[#This Row],[Draft Growth]],MIN(OFFSET(TblPop[[#This Row],[Net max]],1,0)-TblPop[[#This Row],[Peasants]]-TblPop[[#This Row],[Military]]-TblPop[[#This Row],[Draft Growth]],TblPop[[#This Row],[Modded Birth]]-TblPop[[#This Row],[Draft Growth]]))</f>
        <v>117</v>
      </c>
      <c r="X24" s="124">
        <f ca="1">ROUND(TblPop[[#This Row],[Raw Birth]]*(1+TblPop[[#This Row],[Growth]]),0)</f>
        <v>141</v>
      </c>
      <c r="Y24" s="124">
        <f ca="1">(TblPop[[#This Row],[Peasants]]-TblPop[[#This Row],[Draft Growth]])*raw_pop_growth</f>
        <v>71.34</v>
      </c>
      <c r="Z24" s="124">
        <f ca="1">IF(TblPop[[#This Row],[Military%]]&lt;TblMili[[#This Row],[Draftrate]],ROUND(TblPop[[#This Row],[Peasants]]*Constants!$B$53,0), 0)</f>
        <v>24</v>
      </c>
      <c r="AA24" s="184"/>
      <c r="AB24" s="185">
        <f ca="1">Overview!$I$16 + IF(Magic!AD24&gt;0,Constants!$F$77) + ROUND(6*(Construction!BM25+Construction!CK24)/IF(Explore!S25&gt;0,Construction!F25-20,Construction!F25),4) + tech_6_5_2*Techs!BJ24 + tech_8_4*Techs!BT24</f>
        <v>0.98</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44405.624999999949</v>
      </c>
      <c r="C25" s="124">
        <f ca="1">OFFSET(TblPop[[#This Row],[Peasants]],-1,0)+OFFSET(TblPop[[#This Row],[Net Peasant]],-1,0)+TblMili[[#This Row],[Release Draft]]</f>
        <v>2519</v>
      </c>
      <c r="D25" s="124">
        <f ca="1">TblMili[[#This Row],[Military]]</f>
        <v>539</v>
      </c>
      <c r="E25" s="124">
        <f ca="1">TblMili[[#This Row],[Draftees]]</f>
        <v>489</v>
      </c>
      <c r="F25" s="124">
        <f ca="1">TblPop[[#This Row],[Peasants]]+TblPop[[#This Row],[Military]]</f>
        <v>3058</v>
      </c>
      <c r="G25" s="180">
        <f ca="1">TblPop[[#This Row],[Military]]/TblPop[[#This Row],[Total]]</f>
        <v>0.17625899280575538</v>
      </c>
      <c r="H25" s="181">
        <f ca="1">MIN(TblPop[[#This Row],[Peasants]],TblPop[[#This Row],[Jobs]])</f>
        <v>2519</v>
      </c>
      <c r="I25" s="180">
        <f ca="1">MIN(OFFSET(TblPop[[#This Row],[Jobs]],1,0)/TblPop[[#This Row],[Peasants]],1)</f>
        <v>1</v>
      </c>
      <c r="J25" s="181">
        <f ca="1">SUM(TblConstr[[#This Row],[Tot Alc]:[Tot GT]],TblConstr[[#This Row],[Tot Shr]:[Tot Doc]],TblConstr[[#This Row],[Dest Alc]:[Dest GT]],TblConstr[[#This Row],[Dest Shr]:[Dest Doc]])*building_employment</f>
        <v>3200</v>
      </c>
      <c r="K25" s="182"/>
      <c r="L25" s="183">
        <f ca="1">TblPop[[#This Row],[Draftees]]</f>
        <v>489</v>
      </c>
      <c r="M25" s="183">
        <f ca="1">TblMili[[#This Row],[Unit 1]]</f>
        <v>0</v>
      </c>
      <c r="N25" s="183">
        <f ca="1">TblMili[[#This Row],[Unit 2]]</f>
        <v>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3998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5" s="124">
        <f ca="1">MAX(-5%*TblPop[[#This Row],[Peasants]]-TblPop[[#This Row],[Draft Growth]],MIN(OFFSET(TblPop[[#This Row],[Net max]],1,0)-TblPop[[#This Row],[Peasants]]-TblPop[[#This Row],[Military]]-TblPop[[#This Row],[Draft Growth]],TblPop[[#This Row],[Modded Birth]]-TblPop[[#This Row],[Draft Growth]]))</f>
        <v>123</v>
      </c>
      <c r="X25" s="124">
        <f ca="1">ROUND(TblPop[[#This Row],[Raw Birth]]*(1+TblPop[[#This Row],[Growth]]),0)</f>
        <v>148</v>
      </c>
      <c r="Y25" s="124">
        <f ca="1">(TblPop[[#This Row],[Peasants]]-TblPop[[#This Row],[Draft Growth]])*raw_pop_growth</f>
        <v>74.819999999999993</v>
      </c>
      <c r="Z25" s="124">
        <f ca="1">IF(TblPop[[#This Row],[Military%]]&lt;TblMili[[#This Row],[Draftrate]],ROUND(TblPop[[#This Row],[Peasants]]*Constants!$B$53,0), 0)</f>
        <v>25</v>
      </c>
      <c r="AA25" s="184"/>
      <c r="AB25" s="185">
        <f ca="1">Overview!$I$16 + IF(Magic!AD25&gt;0,Constants!$F$77) + ROUND(6*(Construction!BM26+Construction!CK25)/IF(Explore!S26&gt;0,Construction!F26-20,Construction!F26),4) + tech_6_5_2*Techs!BJ25 + tech_8_4*Techs!BT25</f>
        <v>0.98</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44405.666666666613</v>
      </c>
      <c r="C26" s="124">
        <f ca="1">OFFSET(TblPop[[#This Row],[Peasants]],-1,0)+OFFSET(TblPop[[#This Row],[Net Peasant]],-1,0)+TblMili[[#This Row],[Release Draft]]</f>
        <v>2642</v>
      </c>
      <c r="D26" s="124">
        <f ca="1">TblMili[[#This Row],[Military]]</f>
        <v>564</v>
      </c>
      <c r="E26" s="124">
        <f ca="1">TblMili[[#This Row],[Draftees]]</f>
        <v>514</v>
      </c>
      <c r="F26" s="124">
        <f ca="1">TblPop[[#This Row],[Peasants]]+TblPop[[#This Row],[Military]]</f>
        <v>3206</v>
      </c>
      <c r="G26" s="180">
        <f ca="1">TblPop[[#This Row],[Military]]/TblPop[[#This Row],[Total]]</f>
        <v>0.17592014971927636</v>
      </c>
      <c r="H26" s="181">
        <f ca="1">MIN(TblPop[[#This Row],[Peasants]],TblPop[[#This Row],[Jobs]])</f>
        <v>2642</v>
      </c>
      <c r="I26" s="180">
        <f ca="1">MIN(OFFSET(TblPop[[#This Row],[Jobs]],1,0)/TblPop[[#This Row],[Peasants]],1)</f>
        <v>1</v>
      </c>
      <c r="J26" s="181">
        <f ca="1">SUM(TblConstr[[#This Row],[Tot Alc]:[Tot GT]],TblConstr[[#This Row],[Tot Shr]:[Tot Doc]],TblConstr[[#This Row],[Dest Alc]:[Dest GT]],TblConstr[[#This Row],[Dest Shr]:[Dest Doc]])*building_employment</f>
        <v>3200</v>
      </c>
      <c r="K26" s="182"/>
      <c r="L26" s="183">
        <f ca="1">TblPop[[#This Row],[Draftees]]</f>
        <v>514</v>
      </c>
      <c r="M26" s="183">
        <f ca="1">TblMili[[#This Row],[Unit 1]]</f>
        <v>0</v>
      </c>
      <c r="N26" s="183">
        <f ca="1">TblMili[[#This Row],[Unit 2]]</f>
        <v>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3998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6" s="124">
        <f ca="1">MAX(-5%*TblPop[[#This Row],[Peasants]]-TblPop[[#This Row],[Draft Growth]],MIN(OFFSET(TblPop[[#This Row],[Net max]],1,0)-TblPop[[#This Row],[Peasants]]-TblPop[[#This Row],[Military]]-TblPop[[#This Row],[Draft Growth]],TblPop[[#This Row],[Modded Birth]]-TblPop[[#This Row],[Draft Growth]]))</f>
        <v>129</v>
      </c>
      <c r="X26" s="124">
        <f ca="1">ROUND(TblPop[[#This Row],[Raw Birth]]*(1+TblPop[[#This Row],[Growth]]),0)</f>
        <v>155</v>
      </c>
      <c r="Y26" s="124">
        <f ca="1">(TblPop[[#This Row],[Peasants]]-TblPop[[#This Row],[Draft Growth]])*raw_pop_growth</f>
        <v>78.48</v>
      </c>
      <c r="Z26" s="124">
        <f ca="1">IF(TblPop[[#This Row],[Military%]]&lt;TblMili[[#This Row],[Draftrate]],ROUND(TblPop[[#This Row],[Peasants]]*Constants!$B$53,0), 0)</f>
        <v>26</v>
      </c>
      <c r="AA26" s="184"/>
      <c r="AB26" s="185">
        <f ca="1">Overview!$I$16 + IF(Magic!AD26&gt;0,Constants!$F$77) + ROUND(6*(Construction!BM27+Construction!CK26)/IF(Explore!S27&gt;0,Construction!F27-20,Construction!F27),4) + tech_6_5_2*Techs!BJ26 + tech_8_4*Techs!BT26</f>
        <v>0.98</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44405.708333333278</v>
      </c>
      <c r="C27" s="124">
        <f ca="1">OFFSET(TblPop[[#This Row],[Peasants]],-1,0)+OFFSET(TblPop[[#This Row],[Net Peasant]],-1,0)+TblMili[[#This Row],[Release Draft]]</f>
        <v>2771</v>
      </c>
      <c r="D27" s="124">
        <f ca="1">TblMili[[#This Row],[Military]]</f>
        <v>50</v>
      </c>
      <c r="E27" s="124">
        <f ca="1">TblMili[[#This Row],[Draftees]]</f>
        <v>0</v>
      </c>
      <c r="F27" s="124">
        <f ca="1">TblPop[[#This Row],[Peasants]]+TblPop[[#This Row],[Military]]</f>
        <v>2821</v>
      </c>
      <c r="G27" s="180">
        <f ca="1">TblPop[[#This Row],[Military]]/TblPop[[#This Row],[Total]]</f>
        <v>1.7724211272598371E-2</v>
      </c>
      <c r="H27" s="181">
        <f ca="1">MIN(TblPop[[#This Row],[Peasants]],TblPop[[#This Row],[Jobs]])</f>
        <v>2771</v>
      </c>
      <c r="I27" s="180">
        <f ca="1">MIN(OFFSET(TblPop[[#This Row],[Jobs]],1,0)/TblPop[[#This Row],[Peasants]],1)</f>
        <v>1</v>
      </c>
      <c r="J27" s="181">
        <f ca="1">SUM(TblConstr[[#This Row],[Tot Alc]:[Tot GT]],TblConstr[[#This Row],[Tot Shr]:[Tot Doc]],TblConstr[[#This Row],[Dest Alc]:[Dest GT]],TblConstr[[#This Row],[Dest Shr]:[Dest Doc]])*building_employment</f>
        <v>3200</v>
      </c>
      <c r="K27" s="182"/>
      <c r="L27" s="183">
        <f ca="1">TblPop[[#This Row],[Draftees]]</f>
        <v>0</v>
      </c>
      <c r="M27" s="183">
        <f ca="1">TblMili[[#This Row],[Unit 1]]</f>
        <v>0</v>
      </c>
      <c r="N27" s="183">
        <f ca="1">TblMili[[#This Row],[Unit 2]]</f>
        <v>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3998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7" s="124">
        <f ca="1">MAX(-5%*TblPop[[#This Row],[Peasants]]-TblPop[[#This Row],[Draft Growth]],MIN(OFFSET(TblPop[[#This Row],[Net max]],1,0)-TblPop[[#This Row],[Peasants]]-TblPop[[#This Row],[Military]]-TblPop[[#This Row],[Draft Growth]],TblPop[[#This Row],[Modded Birth]]-TblPop[[#This Row],[Draft Growth]]))</f>
        <v>128</v>
      </c>
      <c r="X27" s="124">
        <f ca="1">ROUND(TblPop[[#This Row],[Raw Birth]]*(1+TblPop[[#This Row],[Growth]]),0)</f>
        <v>156</v>
      </c>
      <c r="Y27" s="124">
        <f ca="1">(TblPop[[#This Row],[Peasants]]-TblPop[[#This Row],[Draft Growth]])*raw_pop_growth</f>
        <v>82.289999999999992</v>
      </c>
      <c r="Z27" s="124">
        <f ca="1">IF(TblPop[[#This Row],[Military%]]&lt;TblMili[[#This Row],[Draftrate]],ROUND(TblPop[[#This Row],[Peasants]]*Constants!$B$53,0), 0)</f>
        <v>28</v>
      </c>
      <c r="AA27" s="184"/>
      <c r="AB27" s="185">
        <f ca="1">Overview!$I$16 + IF(Magic!AD27&gt;0,Constants!$F$77) + ROUND(6*(Construction!BM28+Construction!CK27)/IF(Explore!S28&gt;0,Construction!F28-20,Construction!F28),4) + tech_6_5_2*Techs!BJ27 + tech_8_4*Techs!BT27</f>
        <v>0.90129999999999999</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44405.749999999942</v>
      </c>
      <c r="C28" s="124">
        <f ca="1">OFFSET(TblPop[[#This Row],[Peasants]],-1,0)+OFFSET(TblPop[[#This Row],[Net Peasant]],-1,0)+TblMili[[#This Row],[Release Draft]]</f>
        <v>2899</v>
      </c>
      <c r="D28" s="124">
        <f ca="1">TblMili[[#This Row],[Military]]</f>
        <v>78</v>
      </c>
      <c r="E28" s="124">
        <f ca="1">TblMili[[#This Row],[Draftees]]</f>
        <v>28</v>
      </c>
      <c r="F28" s="124">
        <f ca="1">TblPop[[#This Row],[Peasants]]+TblPop[[#This Row],[Military]]</f>
        <v>2977</v>
      </c>
      <c r="G28" s="180">
        <f ca="1">TblPop[[#This Row],[Military]]/TblPop[[#This Row],[Total]]</f>
        <v>2.6200873362445413E-2</v>
      </c>
      <c r="H28" s="181">
        <f ca="1">MIN(TblPop[[#This Row],[Peasants]],TblPop[[#This Row],[Jobs]])</f>
        <v>2899</v>
      </c>
      <c r="I28" s="180">
        <f ca="1">MIN(OFFSET(TblPop[[#This Row],[Jobs]],1,0)/TblPop[[#This Row],[Peasants]],1)</f>
        <v>1</v>
      </c>
      <c r="J28" s="181">
        <f ca="1">SUM(TblConstr[[#This Row],[Tot Alc]:[Tot GT]],TblConstr[[#This Row],[Tot Shr]:[Tot Doc]],TblConstr[[#This Row],[Dest Alc]:[Dest GT]],TblConstr[[#This Row],[Dest Shr]:[Dest Doc]])*building_employment</f>
        <v>4800</v>
      </c>
      <c r="K28" s="182"/>
      <c r="L28" s="183">
        <f ca="1">TblPop[[#This Row],[Draftees]]</f>
        <v>28</v>
      </c>
      <c r="M28" s="183">
        <f ca="1">TblMili[[#This Row],[Unit 1]]</f>
        <v>0</v>
      </c>
      <c r="N28" s="183">
        <f ca="1">TblMili[[#This Row],[Unit 2]]</f>
        <v>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4454</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4345</v>
      </c>
      <c r="W28" s="124">
        <f ca="1">MAX(-5%*TblPop[[#This Row],[Peasants]]-TblPop[[#This Row],[Draft Growth]],MIN(OFFSET(TblPop[[#This Row],[Net max]],1,0)-TblPop[[#This Row],[Peasants]]-TblPop[[#This Row],[Military]]-TblPop[[#This Row],[Draft Growth]],TblPop[[#This Row],[Modded Birth]]-TblPop[[#This Row],[Draft Growth]]))</f>
        <v>135</v>
      </c>
      <c r="X28" s="124">
        <f ca="1">ROUND(TblPop[[#This Row],[Raw Birth]]*(1+TblPop[[#This Row],[Growth]]),0)</f>
        <v>164</v>
      </c>
      <c r="Y28" s="124">
        <f ca="1">(TblPop[[#This Row],[Peasants]]-TblPop[[#This Row],[Draft Growth]])*raw_pop_growth</f>
        <v>86.1</v>
      </c>
      <c r="Z28" s="124">
        <f ca="1">IF(TblPop[[#This Row],[Military%]]&lt;TblMili[[#This Row],[Draftrate]],ROUND(TblPop[[#This Row],[Peasants]]*Constants!$B$53,0), 0)</f>
        <v>29</v>
      </c>
      <c r="AA28" s="184"/>
      <c r="AB28" s="185">
        <f ca="1">Overview!$I$16 + IF(Magic!AD28&gt;0,Constants!$F$77) + ROUND(6*(Construction!BM29+Construction!CK28)/IF(Explore!S29&gt;0,Construction!F29-20,Construction!F29),4) + tech_6_5_2*Techs!BJ28 + tech_8_4*Techs!BT28</f>
        <v>0.90129999999999999</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44405.791666666606</v>
      </c>
      <c r="C29" s="124">
        <f ca="1">OFFSET(TblPop[[#This Row],[Peasants]],-1,0)+OFFSET(TblPop[[#This Row],[Net Peasant]],-1,0)+TblMili[[#This Row],[Release Draft]]</f>
        <v>3034</v>
      </c>
      <c r="D29" s="124">
        <f ca="1">TblMili[[#This Row],[Military]]</f>
        <v>107</v>
      </c>
      <c r="E29" s="124">
        <f ca="1">TblMili[[#This Row],[Draftees]]</f>
        <v>57</v>
      </c>
      <c r="F29" s="124">
        <f ca="1">TblPop[[#This Row],[Peasants]]+TblPop[[#This Row],[Military]]</f>
        <v>3141</v>
      </c>
      <c r="G29" s="180">
        <f ca="1">TblPop[[#This Row],[Military]]/TblPop[[#This Row],[Total]]</f>
        <v>3.4065584208850683E-2</v>
      </c>
      <c r="H29" s="181">
        <f ca="1">MIN(TblPop[[#This Row],[Peasants]],TblPop[[#This Row],[Jobs]])</f>
        <v>3034</v>
      </c>
      <c r="I29" s="180">
        <f ca="1">MIN(OFFSET(TblPop[[#This Row],[Jobs]],1,0)/TblPop[[#This Row],[Peasants]],1)</f>
        <v>1</v>
      </c>
      <c r="J29" s="181">
        <f ca="1">SUM(TblConstr[[#This Row],[Tot Alc]:[Tot GT]],TblConstr[[#This Row],[Tot Shr]:[Tot Doc]],TblConstr[[#This Row],[Dest Alc]:[Dest GT]],TblConstr[[#This Row],[Dest Shr]:[Dest Doc]])*building_employment</f>
        <v>4800</v>
      </c>
      <c r="K29" s="182"/>
      <c r="L29" s="183">
        <f ca="1">TblPop[[#This Row],[Draftees]]</f>
        <v>57</v>
      </c>
      <c r="M29" s="183">
        <f ca="1">TblMili[[#This Row],[Unit 1]]</f>
        <v>0</v>
      </c>
      <c r="N29" s="183">
        <f ca="1">TblMili[[#This Row],[Unit 2]]</f>
        <v>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4751</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29" s="124">
        <f ca="1">MAX(-5%*TblPop[[#This Row],[Peasants]]-TblPop[[#This Row],[Draft Growth]],MIN(OFFSET(TblPop[[#This Row],[Net max]],1,0)-TblPop[[#This Row],[Peasants]]-TblPop[[#This Row],[Military]]-TblPop[[#This Row],[Draft Growth]],TblPop[[#This Row],[Modded Birth]]-TblPop[[#This Row],[Draft Growth]]))</f>
        <v>141</v>
      </c>
      <c r="X29" s="124">
        <f ca="1">ROUND(TblPop[[#This Row],[Raw Birth]]*(1+TblPop[[#This Row],[Growth]]),0)</f>
        <v>171</v>
      </c>
      <c r="Y29" s="124">
        <f ca="1">(TblPop[[#This Row],[Peasants]]-TblPop[[#This Row],[Draft Growth]])*raw_pop_growth</f>
        <v>90.11999999999999</v>
      </c>
      <c r="Z29" s="124">
        <f ca="1">IF(TblPop[[#This Row],[Military%]]&lt;TblMili[[#This Row],[Draftrate]],ROUND(TblPop[[#This Row],[Peasants]]*Constants!$B$53,0), 0)</f>
        <v>30</v>
      </c>
      <c r="AA29" s="184"/>
      <c r="AB29" s="185">
        <f ca="1">Overview!$I$16 + IF(Magic!AD29&gt;0,Constants!$F$77) + ROUND(6*(Construction!BM30+Construction!CK29)/IF(Explore!S30&gt;0,Construction!F30-20,Construction!F30),4) + tech_6_5_2*Techs!BJ29 + tech_8_4*Techs!BT29</f>
        <v>0.90129999999999999</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44405.83333333327</v>
      </c>
      <c r="C30" s="124">
        <f ca="1">OFFSET(TblPop[[#This Row],[Peasants]],-1,0)+OFFSET(TblPop[[#This Row],[Net Peasant]],-1,0)+TblMili[[#This Row],[Release Draft]]</f>
        <v>3175</v>
      </c>
      <c r="D30" s="124">
        <f ca="1">TblMili[[#This Row],[Military]]</f>
        <v>137</v>
      </c>
      <c r="E30" s="124">
        <f ca="1">TblMili[[#This Row],[Draftees]]</f>
        <v>87</v>
      </c>
      <c r="F30" s="124">
        <f ca="1">TblPop[[#This Row],[Peasants]]+TblPop[[#This Row],[Military]]</f>
        <v>3312</v>
      </c>
      <c r="G30" s="180">
        <f ca="1">TblPop[[#This Row],[Military]]/TblPop[[#This Row],[Total]]</f>
        <v>4.1364734299516911E-2</v>
      </c>
      <c r="H30" s="181">
        <f ca="1">MIN(TblPop[[#This Row],[Peasants]],TblPop[[#This Row],[Jobs]])</f>
        <v>3175</v>
      </c>
      <c r="I30" s="180">
        <f ca="1">MIN(OFFSET(TblPop[[#This Row],[Jobs]],1,0)/TblPop[[#This Row],[Peasants]],1)</f>
        <v>1</v>
      </c>
      <c r="J30" s="181">
        <f ca="1">SUM(TblConstr[[#This Row],[Tot Alc]:[Tot GT]],TblConstr[[#This Row],[Tot Shr]:[Tot Doc]],TblConstr[[#This Row],[Dest Alc]:[Dest GT]],TblConstr[[#This Row],[Dest Shr]:[Dest Doc]])*building_employment</f>
        <v>4800</v>
      </c>
      <c r="K30" s="182"/>
      <c r="L30" s="183">
        <f ca="1">TblPop[[#This Row],[Draftees]]</f>
        <v>87</v>
      </c>
      <c r="M30" s="183">
        <f ca="1">TblMili[[#This Row],[Unit 1]]</f>
        <v>0</v>
      </c>
      <c r="N30" s="183">
        <f ca="1">TblMili[[#This Row],[Unit 2]]</f>
        <v>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4751</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0" s="124">
        <f ca="1">MAX(-5%*TblPop[[#This Row],[Peasants]]-TblPop[[#This Row],[Draft Growth]],MIN(OFFSET(TblPop[[#This Row],[Net max]],1,0)-TblPop[[#This Row],[Peasants]]-TblPop[[#This Row],[Military]]-TblPop[[#This Row],[Draft Growth]],TblPop[[#This Row],[Modded Birth]]-TblPop[[#This Row],[Draft Growth]]))</f>
        <v>147</v>
      </c>
      <c r="X30" s="124">
        <f ca="1">ROUND(TblPop[[#This Row],[Raw Birth]]*(1+TblPop[[#This Row],[Growth]]),0)</f>
        <v>179</v>
      </c>
      <c r="Y30" s="124">
        <f ca="1">(TblPop[[#This Row],[Peasants]]-TblPop[[#This Row],[Draft Growth]])*raw_pop_growth</f>
        <v>94.289999999999992</v>
      </c>
      <c r="Z30" s="124">
        <f ca="1">IF(TblPop[[#This Row],[Military%]]&lt;TblMili[[#This Row],[Draftrate]],ROUND(TblPop[[#This Row],[Peasants]]*Constants!$B$53,0), 0)</f>
        <v>32</v>
      </c>
      <c r="AA30" s="184"/>
      <c r="AB30" s="185">
        <f ca="1">Overview!$I$16 + IF(Magic!AD30&gt;0,Constants!$F$77) + ROUND(6*(Construction!BM31+Construction!CK30)/IF(Explore!S31&gt;0,Construction!F31-20,Construction!F31),4) + tech_6_5_2*Techs!BJ30 + tech_8_4*Techs!BT30</f>
        <v>0.90129999999999999</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44405.874999999935</v>
      </c>
      <c r="C31" s="124">
        <f ca="1">OFFSET(TblPop[[#This Row],[Peasants]],-1,0)+OFFSET(TblPop[[#This Row],[Net Peasant]],-1,0)+TblMili[[#This Row],[Release Draft]]</f>
        <v>3322</v>
      </c>
      <c r="D31" s="124">
        <f ca="1">TblMili[[#This Row],[Military]]</f>
        <v>169</v>
      </c>
      <c r="E31" s="124">
        <f ca="1">TblMili[[#This Row],[Draftees]]</f>
        <v>119</v>
      </c>
      <c r="F31" s="124">
        <f ca="1">TblPop[[#This Row],[Peasants]]+TblPop[[#This Row],[Military]]</f>
        <v>3491</v>
      </c>
      <c r="G31" s="180">
        <f ca="1">TblPop[[#This Row],[Military]]/TblPop[[#This Row],[Total]]</f>
        <v>4.8410197651102833E-2</v>
      </c>
      <c r="H31" s="181">
        <f ca="1">MIN(TblPop[[#This Row],[Peasants]],TblPop[[#This Row],[Jobs]])</f>
        <v>3322</v>
      </c>
      <c r="I31" s="180">
        <f ca="1">MIN(OFFSET(TblPop[[#This Row],[Jobs]],1,0)/TblPop[[#This Row],[Peasants]],1)</f>
        <v>1</v>
      </c>
      <c r="J31" s="181">
        <f ca="1">SUM(TblConstr[[#This Row],[Tot Alc]:[Tot GT]],TblConstr[[#This Row],[Tot Shr]:[Tot Doc]],TblConstr[[#This Row],[Dest Alc]:[Dest GT]],TblConstr[[#This Row],[Dest Shr]:[Dest Doc]])*building_employment</f>
        <v>4800</v>
      </c>
      <c r="K31" s="182"/>
      <c r="L31" s="183">
        <f ca="1">TblPop[[#This Row],[Draftees]]</f>
        <v>119</v>
      </c>
      <c r="M31" s="183">
        <f ca="1">TblMili[[#This Row],[Unit 1]]</f>
        <v>0</v>
      </c>
      <c r="N31" s="183">
        <f ca="1">TblMili[[#This Row],[Unit 2]]</f>
        <v>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4751</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1" s="124">
        <f ca="1">MAX(-5%*TblPop[[#This Row],[Peasants]]-TblPop[[#This Row],[Draft Growth]],MIN(OFFSET(TblPop[[#This Row],[Net max]],1,0)-TblPop[[#This Row],[Peasants]]-TblPop[[#This Row],[Military]]-TblPop[[#This Row],[Draft Growth]],TblPop[[#This Row],[Modded Birth]]-TblPop[[#This Row],[Draft Growth]]))</f>
        <v>155</v>
      </c>
      <c r="X31" s="124">
        <f ca="1">ROUND(TblPop[[#This Row],[Raw Birth]]*(1+TblPop[[#This Row],[Growth]]),0)</f>
        <v>188</v>
      </c>
      <c r="Y31" s="124">
        <f ca="1">(TblPop[[#This Row],[Peasants]]-TblPop[[#This Row],[Draft Growth]])*raw_pop_growth</f>
        <v>98.67</v>
      </c>
      <c r="Z31" s="124">
        <f ca="1">IF(TblPop[[#This Row],[Military%]]&lt;TblMili[[#This Row],[Draftrate]],ROUND(TblPop[[#This Row],[Peasants]]*Constants!$B$53,0), 0)</f>
        <v>33</v>
      </c>
      <c r="AA31" s="184"/>
      <c r="AB31" s="185">
        <f ca="1">Overview!$I$16 + IF(Magic!AD31&gt;0,Constants!$F$77) + ROUND(6*(Construction!BM32+Construction!CK31)/IF(Explore!S32&gt;0,Construction!F32-20,Construction!F32),4) + tech_6_5_2*Techs!BJ31 + tech_8_4*Techs!BT31</f>
        <v>0.90129999999999999</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44405.916666666599</v>
      </c>
      <c r="C32" s="124">
        <f ca="1">OFFSET(TblPop[[#This Row],[Peasants]],-1,0)+OFFSET(TblPop[[#This Row],[Net Peasant]],-1,0)+TblMili[[#This Row],[Release Draft]]</f>
        <v>3477</v>
      </c>
      <c r="D32" s="124">
        <f ca="1">TblMili[[#This Row],[Military]]</f>
        <v>202</v>
      </c>
      <c r="E32" s="124">
        <f ca="1">TblMili[[#This Row],[Draftees]]</f>
        <v>152</v>
      </c>
      <c r="F32" s="124">
        <f ca="1">TblPop[[#This Row],[Peasants]]+TblPop[[#This Row],[Military]]</f>
        <v>3679</v>
      </c>
      <c r="G32" s="180">
        <f ca="1">TblPop[[#This Row],[Military]]/TblPop[[#This Row],[Total]]</f>
        <v>5.4906224517531937E-2</v>
      </c>
      <c r="H32" s="181">
        <f ca="1">MIN(TblPop[[#This Row],[Peasants]],TblPop[[#This Row],[Jobs]])</f>
        <v>3477</v>
      </c>
      <c r="I32" s="180">
        <f ca="1">MIN(OFFSET(TblPop[[#This Row],[Jobs]],1,0)/TblPop[[#This Row],[Peasants]],1)</f>
        <v>1</v>
      </c>
      <c r="J32" s="181">
        <f ca="1">SUM(TblConstr[[#This Row],[Tot Alc]:[Tot GT]],TblConstr[[#This Row],[Tot Shr]:[Tot Doc]],TblConstr[[#This Row],[Dest Alc]:[Dest GT]],TblConstr[[#This Row],[Dest Shr]:[Dest Doc]])*building_employment</f>
        <v>4800</v>
      </c>
      <c r="K32" s="182"/>
      <c r="L32" s="183">
        <f ca="1">TblPop[[#This Row],[Draftees]]</f>
        <v>152</v>
      </c>
      <c r="M32" s="183">
        <f ca="1">TblMili[[#This Row],[Unit 1]]</f>
        <v>0</v>
      </c>
      <c r="N32" s="183">
        <f ca="1">TblMili[[#This Row],[Unit 2]]</f>
        <v>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4751</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2" s="124">
        <f ca="1">MAX(-5%*TblPop[[#This Row],[Peasants]]-TblPop[[#This Row],[Draft Growth]],MIN(OFFSET(TblPop[[#This Row],[Net max]],1,0)-TblPop[[#This Row],[Peasants]]-TblPop[[#This Row],[Military]]-TblPop[[#This Row],[Draft Growth]],TblPop[[#This Row],[Modded Birth]]-TblPop[[#This Row],[Draft Growth]]))</f>
        <v>161</v>
      </c>
      <c r="X32" s="124">
        <f ca="1">ROUND(TblPop[[#This Row],[Raw Birth]]*(1+TblPop[[#This Row],[Growth]]),0)</f>
        <v>196</v>
      </c>
      <c r="Y32" s="124">
        <f ca="1">(TblPop[[#This Row],[Peasants]]-TblPop[[#This Row],[Draft Growth]])*raw_pop_growth</f>
        <v>103.25999999999999</v>
      </c>
      <c r="Z32" s="124">
        <f ca="1">IF(TblPop[[#This Row],[Military%]]&lt;TblMili[[#This Row],[Draftrate]],ROUND(TblPop[[#This Row],[Peasants]]*Constants!$B$53,0), 0)</f>
        <v>35</v>
      </c>
      <c r="AA32" s="184"/>
      <c r="AB32" s="185">
        <f ca="1">Overview!$I$16 + IF(Magic!AD32&gt;0,Constants!$F$77) + ROUND(6*(Construction!BM33+Construction!CK32)/IF(Explore!S33&gt;0,Construction!F33-20,Construction!F33),4) + tech_6_5_2*Techs!BJ32 + tech_8_4*Techs!BT32</f>
        <v>0.90129999999999999</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44405.958333333263</v>
      </c>
      <c r="C33" s="124">
        <f ca="1">OFFSET(TblPop[[#This Row],[Peasants]],-1,0)+OFFSET(TblPop[[#This Row],[Net Peasant]],-1,0)+TblMili[[#This Row],[Release Draft]]</f>
        <v>3638</v>
      </c>
      <c r="D33" s="124">
        <f ca="1">TblMili[[#This Row],[Military]]</f>
        <v>237</v>
      </c>
      <c r="E33" s="124">
        <f ca="1">TblMili[[#This Row],[Draftees]]</f>
        <v>187</v>
      </c>
      <c r="F33" s="124">
        <f ca="1">TblPop[[#This Row],[Peasants]]+TblPop[[#This Row],[Military]]</f>
        <v>3875</v>
      </c>
      <c r="G33" s="180">
        <f ca="1">TblPop[[#This Row],[Military]]/TblPop[[#This Row],[Total]]</f>
        <v>6.1161290322580643E-2</v>
      </c>
      <c r="H33" s="181">
        <f ca="1">MIN(TblPop[[#This Row],[Peasants]],TblPop[[#This Row],[Jobs]])</f>
        <v>3638</v>
      </c>
      <c r="I33" s="180">
        <f ca="1">MIN(OFFSET(TblPop[[#This Row],[Jobs]],1,0)/TblPop[[#This Row],[Peasants]],1)</f>
        <v>1</v>
      </c>
      <c r="J33" s="181">
        <f ca="1">SUM(TblConstr[[#This Row],[Tot Alc]:[Tot GT]],TblConstr[[#This Row],[Tot Shr]:[Tot Doc]],TblConstr[[#This Row],[Dest Alc]:[Dest GT]],TblConstr[[#This Row],[Dest Shr]:[Dest Doc]])*building_employment</f>
        <v>4800</v>
      </c>
      <c r="K33" s="182"/>
      <c r="L33" s="183">
        <f ca="1">TblPop[[#This Row],[Draftees]]</f>
        <v>187</v>
      </c>
      <c r="M33" s="183">
        <f ca="1">TblMili[[#This Row],[Unit 1]]</f>
        <v>0</v>
      </c>
      <c r="N33" s="183">
        <f ca="1">TblMili[[#This Row],[Unit 2]]</f>
        <v>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4751</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3" s="124">
        <f ca="1">MAX(-5%*TblPop[[#This Row],[Peasants]]-TblPop[[#This Row],[Draft Growth]],MIN(OFFSET(TblPop[[#This Row],[Net max]],1,0)-TblPop[[#This Row],[Peasants]]-TblPop[[#This Row],[Military]]-TblPop[[#This Row],[Draft Growth]],TblPop[[#This Row],[Modded Birth]]-TblPop[[#This Row],[Draft Growth]]))</f>
        <v>169</v>
      </c>
      <c r="X33" s="124">
        <f ca="1">ROUND(TblPop[[#This Row],[Raw Birth]]*(1+TblPop[[#This Row],[Growth]]),0)</f>
        <v>205</v>
      </c>
      <c r="Y33" s="124">
        <f ca="1">(TblPop[[#This Row],[Peasants]]-TblPop[[#This Row],[Draft Growth]])*raw_pop_growth</f>
        <v>108.06</v>
      </c>
      <c r="Z33" s="124">
        <f ca="1">IF(TblPop[[#This Row],[Military%]]&lt;TblMili[[#This Row],[Draftrate]],ROUND(TblPop[[#This Row],[Peasants]]*Constants!$B$53,0), 0)</f>
        <v>36</v>
      </c>
      <c r="AA33" s="184"/>
      <c r="AB33" s="185">
        <f ca="1">Overview!$I$16 + IF(Magic!AD33&gt;0,Constants!$F$77) + ROUND(6*(Construction!BM34+Construction!CK33)/IF(Explore!S34&gt;0,Construction!F34-20,Construction!F34),4) + tech_6_5_2*Techs!BJ33 + tech_8_4*Techs!BT33</f>
        <v>0.90129999999999999</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44405.999999999927</v>
      </c>
      <c r="C34" s="124">
        <f ca="1">OFFSET(TblPop[[#This Row],[Peasants]],-1,0)+OFFSET(TblPop[[#This Row],[Net Peasant]],-1,0)+TblMili[[#This Row],[Release Draft]]</f>
        <v>3807</v>
      </c>
      <c r="D34" s="124">
        <f ca="1">TblMili[[#This Row],[Military]]</f>
        <v>273</v>
      </c>
      <c r="E34" s="124">
        <f ca="1">TblMili[[#This Row],[Draftees]]</f>
        <v>223</v>
      </c>
      <c r="F34" s="124">
        <f ca="1">TblPop[[#This Row],[Peasants]]+TblPop[[#This Row],[Military]]</f>
        <v>4080</v>
      </c>
      <c r="G34" s="180">
        <f ca="1">TblPop[[#This Row],[Military]]/TblPop[[#This Row],[Total]]</f>
        <v>6.6911764705882351E-2</v>
      </c>
      <c r="H34" s="181">
        <f ca="1">MIN(TblPop[[#This Row],[Peasants]],TblPop[[#This Row],[Jobs]])</f>
        <v>3807</v>
      </c>
      <c r="I34" s="180">
        <f ca="1">MIN(OFFSET(TblPop[[#This Row],[Jobs]],1,0)/TblPop[[#This Row],[Peasants]],1)</f>
        <v>1</v>
      </c>
      <c r="J34" s="181">
        <f ca="1">SUM(TblConstr[[#This Row],[Tot Alc]:[Tot GT]],TblConstr[[#This Row],[Tot Shr]:[Tot Doc]],TblConstr[[#This Row],[Dest Alc]:[Dest GT]],TblConstr[[#This Row],[Dest Shr]:[Dest Doc]])*building_employment</f>
        <v>4800</v>
      </c>
      <c r="K34" s="182"/>
      <c r="L34" s="183">
        <f ca="1">TblPop[[#This Row],[Draftees]]</f>
        <v>223</v>
      </c>
      <c r="M34" s="183">
        <f ca="1">TblMili[[#This Row],[Unit 1]]</f>
        <v>0</v>
      </c>
      <c r="N34" s="183">
        <f ca="1">TblMili[[#This Row],[Unit 2]]</f>
        <v>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4751</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4" s="124">
        <f ca="1">MAX(-5%*TblPop[[#This Row],[Peasants]]-TblPop[[#This Row],[Draft Growth]],MIN(OFFSET(TblPop[[#This Row],[Net max]],1,0)-TblPop[[#This Row],[Peasants]]-TblPop[[#This Row],[Military]]-TblPop[[#This Row],[Draft Growth]],TblPop[[#This Row],[Modded Birth]]-TblPop[[#This Row],[Draft Growth]]))</f>
        <v>177</v>
      </c>
      <c r="X34" s="124">
        <f ca="1">ROUND(TblPop[[#This Row],[Raw Birth]]*(1+TblPop[[#This Row],[Growth]]),0)</f>
        <v>215</v>
      </c>
      <c r="Y34" s="124">
        <f ca="1">(TblPop[[#This Row],[Peasants]]-TblPop[[#This Row],[Draft Growth]])*raw_pop_growth</f>
        <v>113.07</v>
      </c>
      <c r="Z34" s="124">
        <f ca="1">IF(TblPop[[#This Row],[Military%]]&lt;TblMili[[#This Row],[Draftrate]],ROUND(TblPop[[#This Row],[Peasants]]*Constants!$B$53,0), 0)</f>
        <v>38</v>
      </c>
      <c r="AA34" s="184"/>
      <c r="AB34" s="185">
        <f ca="1">Overview!$I$16 + IF(Magic!AD34&gt;0,Constants!$F$77) + ROUND(6*(Construction!BM35+Construction!CK34)/IF(Explore!S35&gt;0,Construction!F35-20,Construction!F35),4) + tech_6_5_2*Techs!BJ34 + tech_8_4*Techs!BT34</f>
        <v>0.90129999999999999</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44406.041666666591</v>
      </c>
      <c r="C35" s="124">
        <f ca="1">OFFSET(TblPop[[#This Row],[Peasants]],-1,0)+OFFSET(TblPop[[#This Row],[Net Peasant]],-1,0)+TblMili[[#This Row],[Release Draft]]</f>
        <v>3984</v>
      </c>
      <c r="D35" s="124">
        <f ca="1">TblMili[[#This Row],[Military]]</f>
        <v>311</v>
      </c>
      <c r="E35" s="124">
        <f ca="1">TblMili[[#This Row],[Draftees]]</f>
        <v>261</v>
      </c>
      <c r="F35" s="124">
        <f ca="1">TblPop[[#This Row],[Peasants]]+TblPop[[#This Row],[Military]]</f>
        <v>4295</v>
      </c>
      <c r="G35" s="180">
        <f ca="1">TblPop[[#This Row],[Military]]/TblPop[[#This Row],[Total]]</f>
        <v>7.2409778812572753E-2</v>
      </c>
      <c r="H35" s="181">
        <f ca="1">MIN(TblPop[[#This Row],[Peasants]],TblPop[[#This Row],[Jobs]])</f>
        <v>3984</v>
      </c>
      <c r="I35" s="180">
        <f ca="1">MIN(OFFSET(TblPop[[#This Row],[Jobs]],1,0)/TblPop[[#This Row],[Peasants]],1)</f>
        <v>1</v>
      </c>
      <c r="J35" s="181">
        <f ca="1">SUM(TblConstr[[#This Row],[Tot Alc]:[Tot GT]],TblConstr[[#This Row],[Tot Shr]:[Tot Doc]],TblConstr[[#This Row],[Dest Alc]:[Dest GT]],TblConstr[[#This Row],[Dest Shr]:[Dest Doc]])*building_employment</f>
        <v>4800</v>
      </c>
      <c r="K35" s="182"/>
      <c r="L35" s="183">
        <f ca="1">TblPop[[#This Row],[Draftees]]</f>
        <v>261</v>
      </c>
      <c r="M35" s="183">
        <f ca="1">TblMili[[#This Row],[Unit 1]]</f>
        <v>0</v>
      </c>
      <c r="N35" s="183">
        <f ca="1">TblMili[[#This Row],[Unit 2]]</f>
        <v>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4751</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5" s="124">
        <f ca="1">MAX(-5%*TblPop[[#This Row],[Peasants]]-TblPop[[#This Row],[Draft Growth]],MIN(OFFSET(TblPop[[#This Row],[Net max]],1,0)-TblPop[[#This Row],[Peasants]]-TblPop[[#This Row],[Military]]-TblPop[[#This Row],[Draft Growth]],TblPop[[#This Row],[Modded Birth]]-TblPop[[#This Row],[Draft Growth]]))</f>
        <v>185</v>
      </c>
      <c r="X35" s="124">
        <f ca="1">ROUND(TblPop[[#This Row],[Raw Birth]]*(1+TblPop[[#This Row],[Growth]]),0)</f>
        <v>225</v>
      </c>
      <c r="Y35" s="124">
        <f ca="1">(TblPop[[#This Row],[Peasants]]-TblPop[[#This Row],[Draft Growth]])*raw_pop_growth</f>
        <v>118.32</v>
      </c>
      <c r="Z35" s="124">
        <f ca="1">IF(TblPop[[#This Row],[Military%]]&lt;TblMili[[#This Row],[Draftrate]],ROUND(TblPop[[#This Row],[Peasants]]*Constants!$B$53,0), 0)</f>
        <v>40</v>
      </c>
      <c r="AA35" s="184"/>
      <c r="AB35" s="185">
        <f ca="1">Overview!$I$16 + IF(Magic!AD35&gt;0,Constants!$F$77) + ROUND(6*(Construction!BM36+Construction!CK35)/IF(Explore!S36&gt;0,Construction!F36-20,Construction!F36),4) + tech_6_5_2*Techs!BJ35 + tech_8_4*Techs!BT35</f>
        <v>0.90129999999999999</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44406.083333333256</v>
      </c>
      <c r="C36" s="124">
        <f ca="1">OFFSET(TblPop[[#This Row],[Peasants]],-1,0)+OFFSET(TblPop[[#This Row],[Net Peasant]],-1,0)+TblMili[[#This Row],[Release Draft]]</f>
        <v>4169</v>
      </c>
      <c r="D36" s="124">
        <f ca="1">TblMili[[#This Row],[Military]]</f>
        <v>351</v>
      </c>
      <c r="E36" s="124">
        <f ca="1">TblMili[[#This Row],[Draftees]]</f>
        <v>301</v>
      </c>
      <c r="F36" s="124">
        <f ca="1">TblPop[[#This Row],[Peasants]]+TblPop[[#This Row],[Military]]</f>
        <v>4520</v>
      </c>
      <c r="G36" s="180">
        <f ca="1">TblPop[[#This Row],[Military]]/TblPop[[#This Row],[Total]]</f>
        <v>7.7654867256637172E-2</v>
      </c>
      <c r="H36" s="181">
        <f ca="1">MIN(TblPop[[#This Row],[Peasants]],TblPop[[#This Row],[Jobs]])</f>
        <v>4169</v>
      </c>
      <c r="I36" s="180">
        <f ca="1">MIN(OFFSET(TblPop[[#This Row],[Jobs]],1,0)/TblPop[[#This Row],[Peasants]],1)</f>
        <v>1</v>
      </c>
      <c r="J36" s="181">
        <f ca="1">SUM(TblConstr[[#This Row],[Tot Alc]:[Tot GT]],TblConstr[[#This Row],[Tot Shr]:[Tot Doc]],TblConstr[[#This Row],[Dest Alc]:[Dest GT]],TblConstr[[#This Row],[Dest Shr]:[Dest Doc]])*building_employment</f>
        <v>4800</v>
      </c>
      <c r="K36" s="182"/>
      <c r="L36" s="183">
        <f ca="1">TblPop[[#This Row],[Draftees]]</f>
        <v>301</v>
      </c>
      <c r="M36" s="183">
        <f ca="1">TblMili[[#This Row],[Unit 1]]</f>
        <v>0</v>
      </c>
      <c r="N36" s="183">
        <f ca="1">TblMili[[#This Row],[Unit 2]]</f>
        <v>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4751</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6" s="124">
        <f ca="1">MAX(-5%*TblPop[[#This Row],[Peasants]]-TblPop[[#This Row],[Draft Growth]],MIN(OFFSET(TblPop[[#This Row],[Net max]],1,0)-TblPop[[#This Row],[Peasants]]-TblPop[[#This Row],[Military]]-TblPop[[#This Row],[Draft Growth]],TblPop[[#This Row],[Modded Birth]]-TblPop[[#This Row],[Draft Growth]]))</f>
        <v>189</v>
      </c>
      <c r="X36" s="124">
        <f ca="1">ROUND(TblPop[[#This Row],[Raw Birth]]*(1+TblPop[[#This Row],[Growth]]),0)</f>
        <v>235</v>
      </c>
      <c r="Y36" s="124">
        <f ca="1">(TblPop[[#This Row],[Peasants]]-TblPop[[#This Row],[Draft Growth]])*raw_pop_growth</f>
        <v>123.81</v>
      </c>
      <c r="Z36" s="124">
        <f ca="1">IF(TblPop[[#This Row],[Military%]]&lt;TblMili[[#This Row],[Draftrate]],ROUND(TblPop[[#This Row],[Peasants]]*Constants!$B$53,0), 0)</f>
        <v>42</v>
      </c>
      <c r="AA36" s="184"/>
      <c r="AB36" s="185">
        <f ca="1">Overview!$I$16 + IF(Magic!AD36&gt;0,Constants!$F$77) + ROUND(6*(Construction!BM37+Construction!CK36)/IF(Explore!S37&gt;0,Construction!F37-20,Construction!F37),4) + tech_6_5_2*Techs!BJ36 + tech_8_4*Techs!BT36</f>
        <v>0.90129999999999999</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44406.12499999992</v>
      </c>
      <c r="C37" s="124">
        <f ca="1">OFFSET(TblPop[[#This Row],[Peasants]],-1,0)+OFFSET(TblPop[[#This Row],[Net Peasant]],-1,0)+TblMili[[#This Row],[Release Draft]]</f>
        <v>4358</v>
      </c>
      <c r="D37" s="124">
        <f ca="1">TblMili[[#This Row],[Military]]</f>
        <v>393</v>
      </c>
      <c r="E37" s="124">
        <f ca="1">TblMili[[#This Row],[Draftees]]</f>
        <v>343</v>
      </c>
      <c r="F37" s="124">
        <f ca="1">TblPop[[#This Row],[Peasants]]+TblPop[[#This Row],[Military]]</f>
        <v>4751</v>
      </c>
      <c r="G37" s="180">
        <f ca="1">TblPop[[#This Row],[Military]]/TblPop[[#This Row],[Total]]</f>
        <v>8.2719427488949698E-2</v>
      </c>
      <c r="H37" s="181">
        <f ca="1">MIN(TblPop[[#This Row],[Peasants]],TblPop[[#This Row],[Jobs]])</f>
        <v>4358</v>
      </c>
      <c r="I37" s="180">
        <f ca="1">MIN(OFFSET(TblPop[[#This Row],[Jobs]],1,0)/TblPop[[#This Row],[Peasants]],1)</f>
        <v>1</v>
      </c>
      <c r="J37" s="181">
        <f ca="1">SUM(TblConstr[[#This Row],[Tot Alc]:[Tot GT]],TblConstr[[#This Row],[Tot Shr]:[Tot Doc]],TblConstr[[#This Row],[Dest Alc]:[Dest GT]],TblConstr[[#This Row],[Dest Shr]:[Dest Doc]])*building_employment</f>
        <v>4800</v>
      </c>
      <c r="K37" s="182"/>
      <c r="L37" s="183">
        <f ca="1">TblPop[[#This Row],[Draftees]]</f>
        <v>343</v>
      </c>
      <c r="M37" s="183">
        <f ca="1">TblMili[[#This Row],[Unit 1]]</f>
        <v>0</v>
      </c>
      <c r="N37" s="183">
        <f ca="1">TblMili[[#This Row],[Unit 2]]</f>
        <v>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4751</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7" s="124">
        <f ca="1">MAX(-5%*TblPop[[#This Row],[Peasants]]-TblPop[[#This Row],[Draft Growth]],MIN(OFFSET(TblPop[[#This Row],[Net max]],1,0)-TblPop[[#This Row],[Peasants]]-TblPop[[#This Row],[Military]]-TblPop[[#This Row],[Draft Growth]],TblPop[[#This Row],[Modded Birth]]-TblPop[[#This Row],[Draft Growth]]))</f>
        <v>-44</v>
      </c>
      <c r="X37" s="124">
        <f ca="1">ROUND(TblPop[[#This Row],[Raw Birth]]*(1+TblPop[[#This Row],[Growth]]),0)</f>
        <v>246</v>
      </c>
      <c r="Y37" s="124">
        <f ca="1">(TblPop[[#This Row],[Peasants]]-TblPop[[#This Row],[Draft Growth]])*raw_pop_growth</f>
        <v>129.41999999999999</v>
      </c>
      <c r="Z37" s="124">
        <f ca="1">IF(TblPop[[#This Row],[Military%]]&lt;TblMili[[#This Row],[Draftrate]],ROUND(TblPop[[#This Row],[Peasants]]*Constants!$B$53,0), 0)</f>
        <v>44</v>
      </c>
      <c r="AA37" s="184"/>
      <c r="AB37" s="185">
        <f ca="1">Overview!$I$16 + IF(Magic!AD37&gt;0,Constants!$F$77) + ROUND(6*(Construction!BM38+Construction!CK37)/IF(Explore!S38&gt;0,Construction!F38-20,Construction!F38),4) + tech_6_5_2*Techs!BJ37 + tech_8_4*Techs!BT37</f>
        <v>0.90129999999999999</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44406.166666666584</v>
      </c>
      <c r="C38" s="124">
        <f ca="1">OFFSET(TblPop[[#This Row],[Peasants]],-1,0)+OFFSET(TblPop[[#This Row],[Net Peasant]],-1,0)+TblMili[[#This Row],[Release Draft]]</f>
        <v>4314</v>
      </c>
      <c r="D38" s="124">
        <f ca="1">TblMili[[#This Row],[Military]]</f>
        <v>53</v>
      </c>
      <c r="E38" s="124">
        <f ca="1">TblMili[[#This Row],[Draftees]]</f>
        <v>3</v>
      </c>
      <c r="F38" s="124">
        <f ca="1">TblPop[[#This Row],[Peasants]]+TblPop[[#This Row],[Military]]</f>
        <v>4367</v>
      </c>
      <c r="G38" s="180">
        <f ca="1">TblPop[[#This Row],[Military]]/TblPop[[#This Row],[Total]]</f>
        <v>1.2136478131440347E-2</v>
      </c>
      <c r="H38" s="181">
        <f ca="1">MIN(TblPop[[#This Row],[Peasants]],TblPop[[#This Row],[Jobs]])</f>
        <v>4314</v>
      </c>
      <c r="I38" s="180">
        <f ca="1">MIN(OFFSET(TblPop[[#This Row],[Jobs]],1,0)/TblPop[[#This Row],[Peasants]],1)</f>
        <v>1</v>
      </c>
      <c r="J38" s="181">
        <f ca="1">SUM(TblConstr[[#This Row],[Tot Alc]:[Tot GT]],TblConstr[[#This Row],[Tot Shr]:[Tot Doc]],TblConstr[[#This Row],[Dest Alc]:[Dest GT]],TblConstr[[#This Row],[Dest Shr]:[Dest Doc]])*building_employment</f>
        <v>4800</v>
      </c>
      <c r="K38" s="182"/>
      <c r="L38" s="183">
        <f ca="1">TblPop[[#This Row],[Draftees]]</f>
        <v>3</v>
      </c>
      <c r="M38" s="183">
        <f ca="1">TblMili[[#This Row],[Unit 1]]</f>
        <v>0</v>
      </c>
      <c r="N38" s="183">
        <f ca="1">TblMili[[#This Row],[Unit 2]]</f>
        <v>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4751</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8" s="124">
        <f ca="1">MAX(-5%*TblPop[[#This Row],[Peasants]]-TblPop[[#This Row],[Draft Growth]],MIN(OFFSET(TblPop[[#This Row],[Net max]],1,0)-TblPop[[#This Row],[Peasants]]-TblPop[[#This Row],[Military]]-TblPop[[#This Row],[Draft Growth]],TblPop[[#This Row],[Modded Birth]]-TblPop[[#This Row],[Draft Growth]]))</f>
        <v>185</v>
      </c>
      <c r="X38" s="124">
        <f ca="1">ROUND(TblPop[[#This Row],[Raw Birth]]*(1+TblPop[[#This Row],[Growth]]),0)</f>
        <v>228</v>
      </c>
      <c r="Y38" s="124">
        <f ca="1">(TblPop[[#This Row],[Peasants]]-TblPop[[#This Row],[Draft Growth]])*raw_pop_growth</f>
        <v>128.13</v>
      </c>
      <c r="Z38" s="124">
        <f ca="1">IF(TblPop[[#This Row],[Military%]]&lt;TblMili[[#This Row],[Draftrate]],ROUND(TblPop[[#This Row],[Peasants]]*Constants!$B$53,0), 0)</f>
        <v>43</v>
      </c>
      <c r="AA38" s="184"/>
      <c r="AB38" s="185">
        <f ca="1">Overview!$I$16 + IF(Magic!AD38&gt;0,Constants!$F$77) + ROUND(6*(Construction!BM39+Construction!CK38)/IF(Explore!S39&gt;0,Construction!F39-20,Construction!F39),4) + tech_6_5_2*Techs!BJ38 + tech_8_4*Techs!BT38</f>
        <v>0.77649999999999997</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44406.208333333248</v>
      </c>
      <c r="C39" s="124">
        <f ca="1">OFFSET(TblPop[[#This Row],[Peasants]],-1,0)+OFFSET(TblPop[[#This Row],[Net Peasant]],-1,0)+TblMili[[#This Row],[Release Draft]]</f>
        <v>4499</v>
      </c>
      <c r="D39" s="124">
        <f ca="1">TblMili[[#This Row],[Military]]</f>
        <v>54</v>
      </c>
      <c r="E39" s="124">
        <f ca="1">TblMili[[#This Row],[Draftees]]</f>
        <v>4</v>
      </c>
      <c r="F39" s="124">
        <f ca="1">TblPop[[#This Row],[Peasants]]+TblPop[[#This Row],[Military]]</f>
        <v>4553</v>
      </c>
      <c r="G39" s="180">
        <f ca="1">TblPop[[#This Row],[Military]]/TblPop[[#This Row],[Total]]</f>
        <v>1.1860311882275423E-2</v>
      </c>
      <c r="H39" s="181">
        <f ca="1">MIN(TblPop[[#This Row],[Peasants]],TblPop[[#This Row],[Jobs]])</f>
        <v>4499</v>
      </c>
      <c r="I39" s="180">
        <f ca="1">MIN(OFFSET(TblPop[[#This Row],[Jobs]],1,0)/TblPop[[#This Row],[Peasants]],1)</f>
        <v>1</v>
      </c>
      <c r="J39" s="181">
        <f ca="1">SUM(TblConstr[[#This Row],[Tot Alc]:[Tot GT]],TblConstr[[#This Row],[Tot Shr]:[Tot Doc]],TblConstr[[#This Row],[Dest Alc]:[Dest GT]],TblConstr[[#This Row],[Dest Shr]:[Dest Doc]])*building_employment</f>
        <v>5200</v>
      </c>
      <c r="K39" s="182"/>
      <c r="L39" s="183">
        <f ca="1">TblPop[[#This Row],[Draftees]]</f>
        <v>4</v>
      </c>
      <c r="M39" s="183">
        <f ca="1">TblMili[[#This Row],[Unit 1]]</f>
        <v>0</v>
      </c>
      <c r="N39" s="183">
        <f ca="1">TblMili[[#This Row],[Unit 2]]</f>
        <v>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5443</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5310</v>
      </c>
      <c r="W39" s="124">
        <f ca="1">MAX(-5%*TblPop[[#This Row],[Peasants]]-TblPop[[#This Row],[Draft Growth]],MIN(OFFSET(TblPop[[#This Row],[Net max]],1,0)-TblPop[[#This Row],[Peasants]]-TblPop[[#This Row],[Military]]-TblPop[[#This Row],[Draft Growth]],TblPop[[#This Row],[Modded Birth]]-TblPop[[#This Row],[Draft Growth]]))</f>
        <v>192</v>
      </c>
      <c r="X39" s="124">
        <f ca="1">ROUND(TblPop[[#This Row],[Raw Birth]]*(1+TblPop[[#This Row],[Growth]]),0)</f>
        <v>237</v>
      </c>
      <c r="Y39" s="124">
        <f ca="1">(TblPop[[#This Row],[Peasants]]-TblPop[[#This Row],[Draft Growth]])*raw_pop_growth</f>
        <v>133.62</v>
      </c>
      <c r="Z39" s="124">
        <f ca="1">IF(TblPop[[#This Row],[Military%]]&lt;TblMili[[#This Row],[Draftrate]],ROUND(TblPop[[#This Row],[Peasants]]*Constants!$B$53,0), 0)</f>
        <v>45</v>
      </c>
      <c r="AA39" s="184"/>
      <c r="AB39" s="185">
        <f ca="1">Overview!$I$16 + IF(Magic!AD39&gt;0,Constants!$F$77) + ROUND(6*(Construction!BM40+Construction!CK39)/IF(Explore!S40&gt;0,Construction!F40-20,Construction!F40),4) + tech_6_5_2*Techs!BJ39 + tech_8_4*Techs!BT39</f>
        <v>0.77649999999999997</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44406.249999999913</v>
      </c>
      <c r="C40" s="124">
        <f ca="1">OFFSET(TblPop[[#This Row],[Peasants]],-1,0)+OFFSET(TblPop[[#This Row],[Net Peasant]],-1,0)+TblMili[[#This Row],[Release Draft]]</f>
        <v>4691</v>
      </c>
      <c r="D40" s="124">
        <f ca="1">TblMili[[#This Row],[Military]]</f>
        <v>51</v>
      </c>
      <c r="E40" s="124">
        <f ca="1">TblMili[[#This Row],[Draftees]]</f>
        <v>1</v>
      </c>
      <c r="F40" s="124">
        <f ca="1">TblPop[[#This Row],[Peasants]]+TblPop[[#This Row],[Military]]</f>
        <v>4742</v>
      </c>
      <c r="G40" s="180">
        <f ca="1">TblPop[[#This Row],[Military]]/TblPop[[#This Row],[Total]]</f>
        <v>1.0754955714888232E-2</v>
      </c>
      <c r="H40" s="181">
        <f ca="1">MIN(TblPop[[#This Row],[Peasants]],TblPop[[#This Row],[Jobs]])</f>
        <v>4691</v>
      </c>
      <c r="I40" s="180">
        <f ca="1">MIN(OFFSET(TblPop[[#This Row],[Jobs]],1,0)/TblPop[[#This Row],[Peasants]],1)</f>
        <v>1</v>
      </c>
      <c r="J40" s="181">
        <f ca="1">SUM(TblConstr[[#This Row],[Tot Alc]:[Tot GT]],TblConstr[[#This Row],[Tot Shr]:[Tot Doc]],TblConstr[[#This Row],[Dest Alc]:[Dest GT]],TblConstr[[#This Row],[Dest Shr]:[Dest Doc]])*building_employment</f>
        <v>5780</v>
      </c>
      <c r="K40" s="182"/>
      <c r="L40" s="183">
        <f ca="1">TblPop[[#This Row],[Draftees]]</f>
        <v>1</v>
      </c>
      <c r="M40" s="183">
        <f ca="1">TblMili[[#This Row],[Unit 1]]</f>
        <v>0</v>
      </c>
      <c r="N40" s="183">
        <f ca="1">TblMili[[#This Row],[Unit 2]]</f>
        <v>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6827</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6660</v>
      </c>
      <c r="W40" s="124">
        <f ca="1">MAX(-5%*TblPop[[#This Row],[Peasants]]-TblPop[[#This Row],[Draft Growth]],MIN(OFFSET(TblPop[[#This Row],[Net max]],1,0)-TblPop[[#This Row],[Peasants]]-TblPop[[#This Row],[Military]]-TblPop[[#This Row],[Draft Growth]],TblPop[[#This Row],[Modded Birth]]-TblPop[[#This Row],[Draft Growth]]))</f>
        <v>201</v>
      </c>
      <c r="X40" s="124">
        <f ca="1">ROUND(TblPop[[#This Row],[Raw Birth]]*(1+TblPop[[#This Row],[Growth]]),0)</f>
        <v>248</v>
      </c>
      <c r="Y40" s="124">
        <f ca="1">(TblPop[[#This Row],[Peasants]]-TblPop[[#This Row],[Draft Growth]])*raw_pop_growth</f>
        <v>139.32</v>
      </c>
      <c r="Z40" s="124">
        <f ca="1">IF(TblPop[[#This Row],[Military%]]&lt;TblMili[[#This Row],[Draftrate]],ROUND(TblPop[[#This Row],[Peasants]]*Constants!$B$53,0), 0)</f>
        <v>47</v>
      </c>
      <c r="AA40" s="184"/>
      <c r="AB40" s="185">
        <f ca="1">Overview!$I$16 + IF(Magic!AD40&gt;0,Constants!$F$77) + ROUND(6*(Construction!BM41+Construction!CK40)/IF(Explore!S41&gt;0,Construction!F41-20,Construction!F41),4) + tech_6_5_2*Techs!BJ40 + tech_8_4*Techs!BT40</f>
        <v>0.77649999999999997</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44406.291666666577</v>
      </c>
      <c r="C41" s="124">
        <f ca="1">OFFSET(TblPop[[#This Row],[Peasants]],-1,0)+OFFSET(TblPop[[#This Row],[Net Peasant]],-1,0)+TblMili[[#This Row],[Release Draft]]</f>
        <v>4892</v>
      </c>
      <c r="D41" s="124">
        <f ca="1">TblMili[[#This Row],[Military]]</f>
        <v>50</v>
      </c>
      <c r="E41" s="124">
        <f ca="1">TblMili[[#This Row],[Draftees]]</f>
        <v>0</v>
      </c>
      <c r="F41" s="124">
        <f ca="1">TblPop[[#This Row],[Peasants]]+TblPop[[#This Row],[Military]]</f>
        <v>4942</v>
      </c>
      <c r="G41" s="180">
        <f ca="1">TblPop[[#This Row],[Military]]/TblPop[[#This Row],[Total]]</f>
        <v>1.0117361392148928E-2</v>
      </c>
      <c r="H41" s="181">
        <f ca="1">MIN(TblPop[[#This Row],[Peasants]],TblPop[[#This Row],[Jobs]])</f>
        <v>4892</v>
      </c>
      <c r="I41" s="180">
        <f ca="1">MIN(OFFSET(TblPop[[#This Row],[Jobs]],1,0)/TblPop[[#This Row],[Peasants]],1)</f>
        <v>1</v>
      </c>
      <c r="J41" s="181">
        <f ca="1">SUM(TblConstr[[#This Row],[Tot Alc]:[Tot GT]],TblConstr[[#This Row],[Tot Shr]:[Tot Doc]],TblConstr[[#This Row],[Dest Alc]:[Dest GT]],TblConstr[[#This Row],[Dest Shr]:[Dest Doc]])*building_employment</f>
        <v>5780</v>
      </c>
      <c r="K41" s="182"/>
      <c r="L41" s="183">
        <f ca="1">TblPop[[#This Row],[Draftees]]</f>
        <v>0</v>
      </c>
      <c r="M41" s="183">
        <f ca="1">TblMili[[#This Row],[Unit 1]]</f>
        <v>0</v>
      </c>
      <c r="N41" s="183">
        <f ca="1">TblMili[[#This Row],[Unit 2]]</f>
        <v>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6827</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6660</v>
      </c>
      <c r="W41" s="124">
        <f ca="1">MAX(-5%*TblPop[[#This Row],[Peasants]]-TblPop[[#This Row],[Draft Growth]],MIN(OFFSET(TblPop[[#This Row],[Net max]],1,0)-TblPop[[#This Row],[Peasants]]-TblPop[[#This Row],[Military]]-TblPop[[#This Row],[Draft Growth]],TblPop[[#This Row],[Modded Birth]]-TblPop[[#This Row],[Draft Growth]]))</f>
        <v>209</v>
      </c>
      <c r="X41" s="124">
        <f ca="1">ROUND(TblPop[[#This Row],[Raw Birth]]*(1+TblPop[[#This Row],[Growth]]),0)</f>
        <v>258</v>
      </c>
      <c r="Y41" s="124">
        <f ca="1">(TblPop[[#This Row],[Peasants]]-TblPop[[#This Row],[Draft Growth]])*raw_pop_growth</f>
        <v>145.29</v>
      </c>
      <c r="Z41" s="124">
        <f ca="1">IF(TblPop[[#This Row],[Military%]]&lt;TblMili[[#This Row],[Draftrate]],ROUND(TblPop[[#This Row],[Peasants]]*Constants!$B$53,0), 0)</f>
        <v>49</v>
      </c>
      <c r="AA41" s="184"/>
      <c r="AB41" s="185">
        <f ca="1">Overview!$I$16 + IF(Magic!AD41&gt;0,Constants!$F$77) + ROUND(6*(Construction!BM42+Construction!CK41)/IF(Explore!S42&gt;0,Construction!F42-20,Construction!F42),4) + tech_6_5_2*Techs!BJ41 + tech_8_4*Techs!BT41</f>
        <v>0.77649999999999997</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44406.333333333241</v>
      </c>
      <c r="C42" s="124">
        <f ca="1">OFFSET(TblPop[[#This Row],[Peasants]],-1,0)+OFFSET(TblPop[[#This Row],[Net Peasant]],-1,0)+TblMili[[#This Row],[Release Draft]]</f>
        <v>5101</v>
      </c>
      <c r="D42" s="124">
        <f ca="1">TblMili[[#This Row],[Military]]</f>
        <v>57</v>
      </c>
      <c r="E42" s="124">
        <f ca="1">TblMili[[#This Row],[Draftees]]</f>
        <v>7</v>
      </c>
      <c r="F42" s="124">
        <f ca="1">TblPop[[#This Row],[Peasants]]+TblPop[[#This Row],[Military]]</f>
        <v>5158</v>
      </c>
      <c r="G42" s="180">
        <f ca="1">TblPop[[#This Row],[Military]]/TblPop[[#This Row],[Total]]</f>
        <v>1.1050794881737108E-2</v>
      </c>
      <c r="H42" s="181">
        <f ca="1">MIN(TblPop[[#This Row],[Peasants]],TblPop[[#This Row],[Jobs]])</f>
        <v>5101</v>
      </c>
      <c r="I42" s="180">
        <f ca="1">MIN(OFFSET(TblPop[[#This Row],[Jobs]],1,0)/TblPop[[#This Row],[Peasants]],1)</f>
        <v>1</v>
      </c>
      <c r="J42" s="181">
        <f ca="1">SUM(TblConstr[[#This Row],[Tot Alc]:[Tot GT]],TblConstr[[#This Row],[Tot Shr]:[Tot Doc]],TblConstr[[#This Row],[Dest Alc]:[Dest GT]],TblConstr[[#This Row],[Dest Shr]:[Dest Doc]])*building_employment</f>
        <v>5780</v>
      </c>
      <c r="K42" s="182"/>
      <c r="L42" s="183">
        <f ca="1">TblPop[[#This Row],[Draftees]]</f>
        <v>7</v>
      </c>
      <c r="M42" s="183">
        <f ca="1">TblMili[[#This Row],[Unit 1]]</f>
        <v>0</v>
      </c>
      <c r="N42" s="183">
        <f ca="1">TblMili[[#This Row],[Unit 2]]</f>
        <v>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6827</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6660</v>
      </c>
      <c r="W42" s="124">
        <f ca="1">MAX(-5%*TblPop[[#This Row],[Peasants]]-TblPop[[#This Row],[Draft Growth]],MIN(OFFSET(TblPop[[#This Row],[Net max]],1,0)-TblPop[[#This Row],[Peasants]]-TblPop[[#This Row],[Military]]-TblPop[[#This Row],[Draft Growth]],TblPop[[#This Row],[Modded Birth]]-TblPop[[#This Row],[Draft Growth]]))</f>
        <v>216</v>
      </c>
      <c r="X42" s="124">
        <f ca="1">ROUND(TblPop[[#This Row],[Raw Birth]]*(1+TblPop[[#This Row],[Growth]]),0)</f>
        <v>267</v>
      </c>
      <c r="Y42" s="124">
        <f ca="1">(TblPop[[#This Row],[Peasants]]-TblPop[[#This Row],[Draft Growth]])*raw_pop_growth</f>
        <v>151.5</v>
      </c>
      <c r="Z42" s="124">
        <f ca="1">IF(TblPop[[#This Row],[Military%]]&lt;TblMili[[#This Row],[Draftrate]],ROUND(TblPop[[#This Row],[Peasants]]*Constants!$B$53,0), 0)</f>
        <v>51</v>
      </c>
      <c r="AA42" s="184"/>
      <c r="AB42" s="185">
        <f ca="1">Overview!$I$16 + IF(Magic!AD42&gt;0,Constants!$F$77) + ROUND(6*(Construction!BM43+Construction!CK42)/IF(Explore!S43&gt;0,Construction!F43-20,Construction!F43),4) + tech_6_5_2*Techs!BJ42 + tech_8_4*Techs!BT42</f>
        <v>0.76429999999999998</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44406.374999999905</v>
      </c>
      <c r="C43" s="124">
        <f ca="1">OFFSET(TblPop[[#This Row],[Peasants]],-1,0)+OFFSET(TblPop[[#This Row],[Net Peasant]],-1,0)+TblMili[[#This Row],[Release Draft]]</f>
        <v>5317</v>
      </c>
      <c r="D43" s="124">
        <f ca="1">TblMili[[#This Row],[Military]]</f>
        <v>108</v>
      </c>
      <c r="E43" s="124">
        <f ca="1">TblMili[[#This Row],[Draftees]]</f>
        <v>58</v>
      </c>
      <c r="F43" s="124">
        <f ca="1">TblPop[[#This Row],[Peasants]]+TblPop[[#This Row],[Military]]</f>
        <v>5425</v>
      </c>
      <c r="G43" s="180">
        <f ca="1">TblPop[[#This Row],[Military]]/TblPop[[#This Row],[Total]]</f>
        <v>1.9907834101382488E-2</v>
      </c>
      <c r="H43" s="181">
        <f ca="1">MIN(TblPop[[#This Row],[Peasants]],TblPop[[#This Row],[Jobs]])</f>
        <v>5317</v>
      </c>
      <c r="I43" s="180">
        <f ca="1">MIN(OFFSET(TblPop[[#This Row],[Jobs]],1,0)/TblPop[[#This Row],[Peasants]],1)</f>
        <v>1</v>
      </c>
      <c r="J43" s="181">
        <f ca="1">SUM(TblConstr[[#This Row],[Tot Alc]:[Tot GT]],TblConstr[[#This Row],[Tot Shr]:[Tot Doc]],TblConstr[[#This Row],[Dest Alc]:[Dest GT]],TblConstr[[#This Row],[Dest Shr]:[Dest Doc]])*building_employment</f>
        <v>5780</v>
      </c>
      <c r="K43" s="182"/>
      <c r="L43" s="183">
        <f ca="1">TblPop[[#This Row],[Draftees]]</f>
        <v>58</v>
      </c>
      <c r="M43" s="183">
        <f ca="1">TblMili[[#This Row],[Unit 1]]</f>
        <v>0</v>
      </c>
      <c r="N43" s="183">
        <f ca="1">TblMili[[#This Row],[Unit 2]]</f>
        <v>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6929</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6760</v>
      </c>
      <c r="W43" s="124">
        <f ca="1">MAX(-5%*TblPop[[#This Row],[Peasants]]-TblPop[[#This Row],[Draft Growth]],MIN(OFFSET(TblPop[[#This Row],[Net max]],1,0)-TblPop[[#This Row],[Peasants]]-TblPop[[#This Row],[Military]]-TblPop[[#This Row],[Draft Growth]],TblPop[[#This Row],[Modded Birth]]-TblPop[[#This Row],[Draft Growth]]))</f>
        <v>226</v>
      </c>
      <c r="X43" s="124">
        <f ca="1">ROUND(TblPop[[#This Row],[Raw Birth]]*(1+TblPop[[#This Row],[Growth]]),0)</f>
        <v>279</v>
      </c>
      <c r="Y43" s="124">
        <f ca="1">(TblPop[[#This Row],[Peasants]]-TblPop[[#This Row],[Draft Growth]])*raw_pop_growth</f>
        <v>157.91999999999999</v>
      </c>
      <c r="Z43" s="124">
        <f ca="1">IF(TblPop[[#This Row],[Military%]]&lt;TblMili[[#This Row],[Draftrate]],ROUND(TblPop[[#This Row],[Peasants]]*Constants!$B$53,0), 0)</f>
        <v>53</v>
      </c>
      <c r="AA43" s="184"/>
      <c r="AB43" s="185">
        <f ca="1">Overview!$I$16 + IF(Magic!AD43&gt;0,Constants!$F$77) + ROUND(6*(Construction!BM44+Construction!CK43)/IF(Explore!S44&gt;0,Construction!F44-20,Construction!F44),4) + tech_6_5_2*Techs!BJ43 + tech_8_4*Techs!BT43</f>
        <v>0.76429999999999998</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44406.41666666657</v>
      </c>
      <c r="C44" s="124">
        <f ca="1">OFFSET(TblPop[[#This Row],[Peasants]],-1,0)+OFFSET(TblPop[[#This Row],[Net Peasant]],-1,0)+TblMili[[#This Row],[Release Draft]]</f>
        <v>5543</v>
      </c>
      <c r="D44" s="124">
        <f ca="1">TblMili[[#This Row],[Military]]</f>
        <v>161</v>
      </c>
      <c r="E44" s="124">
        <f ca="1">TblMili[[#This Row],[Draftees]]</f>
        <v>111</v>
      </c>
      <c r="F44" s="124">
        <f ca="1">TblPop[[#This Row],[Peasants]]+TblPop[[#This Row],[Military]]</f>
        <v>5704</v>
      </c>
      <c r="G44" s="180">
        <f ca="1">TblPop[[#This Row],[Military]]/TblPop[[#This Row],[Total]]</f>
        <v>2.8225806451612902E-2</v>
      </c>
      <c r="H44" s="181">
        <f ca="1">MIN(TblPop[[#This Row],[Peasants]],TblPop[[#This Row],[Jobs]])</f>
        <v>5543</v>
      </c>
      <c r="I44" s="180">
        <f ca="1">MIN(OFFSET(TblPop[[#This Row],[Jobs]],1,0)/TblPop[[#This Row],[Peasants]],1)</f>
        <v>1</v>
      </c>
      <c r="J44" s="181">
        <f ca="1">SUM(TblConstr[[#This Row],[Tot Alc]:[Tot GT]],TblConstr[[#This Row],[Tot Shr]:[Tot Doc]],TblConstr[[#This Row],[Dest Alc]:[Dest GT]],TblConstr[[#This Row],[Dest Shr]:[Dest Doc]])*building_employment</f>
        <v>5780</v>
      </c>
      <c r="K44" s="182"/>
      <c r="L44" s="183">
        <f ca="1">TblPop[[#This Row],[Draftees]]</f>
        <v>111</v>
      </c>
      <c r="M44" s="183">
        <f ca="1">TblMili[[#This Row],[Unit 1]]</f>
        <v>0</v>
      </c>
      <c r="N44" s="183">
        <f ca="1">TblMili[[#This Row],[Unit 2]]</f>
        <v>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7134</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4" s="124">
        <f ca="1">MAX(-5%*TblPop[[#This Row],[Peasants]]-TblPop[[#This Row],[Draft Growth]],MIN(OFFSET(TblPop[[#This Row],[Net max]],1,0)-TblPop[[#This Row],[Peasants]]-TblPop[[#This Row],[Military]]-TblPop[[#This Row],[Draft Growth]],TblPop[[#This Row],[Modded Birth]]-TblPop[[#This Row],[Draft Growth]]))</f>
        <v>235</v>
      </c>
      <c r="X44" s="124">
        <f ca="1">ROUND(TblPop[[#This Row],[Raw Birth]]*(1+TblPop[[#This Row],[Growth]]),0)</f>
        <v>290</v>
      </c>
      <c r="Y44" s="124">
        <f ca="1">(TblPop[[#This Row],[Peasants]]-TblPop[[#This Row],[Draft Growth]])*raw_pop_growth</f>
        <v>164.64</v>
      </c>
      <c r="Z44" s="124">
        <f ca="1">IF(TblPop[[#This Row],[Military%]]&lt;TblMili[[#This Row],[Draftrate]],ROUND(TblPop[[#This Row],[Peasants]]*Constants!$B$53,0), 0)</f>
        <v>55</v>
      </c>
      <c r="AA44" s="184"/>
      <c r="AB44" s="185">
        <f ca="1">Overview!$I$16 + IF(Magic!AD44&gt;0,Constants!$F$77) + ROUND(6*(Construction!BM45+Construction!CK44)/IF(Explore!S45&gt;0,Construction!F45-20,Construction!F45),4) + tech_6_5_2*Techs!BJ44 + tech_8_4*Techs!BT44</f>
        <v>0.76429999999999998</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44406.458333333234</v>
      </c>
      <c r="C45" s="124">
        <f ca="1">OFFSET(TblPop[[#This Row],[Peasants]],-1,0)+OFFSET(TblPop[[#This Row],[Net Peasant]],-1,0)+TblMili[[#This Row],[Release Draft]]</f>
        <v>5778</v>
      </c>
      <c r="D45" s="124">
        <f ca="1">TblMili[[#This Row],[Military]]</f>
        <v>216</v>
      </c>
      <c r="E45" s="124">
        <f ca="1">TblMili[[#This Row],[Draftees]]</f>
        <v>166</v>
      </c>
      <c r="F45" s="124">
        <f ca="1">TblPop[[#This Row],[Peasants]]+TblPop[[#This Row],[Military]]</f>
        <v>5994</v>
      </c>
      <c r="G45" s="180">
        <f ca="1">TblPop[[#This Row],[Military]]/TblPop[[#This Row],[Total]]</f>
        <v>3.6036036036036036E-2</v>
      </c>
      <c r="H45" s="181">
        <f ca="1">MIN(TblPop[[#This Row],[Peasants]],TblPop[[#This Row],[Jobs]])</f>
        <v>5778</v>
      </c>
      <c r="I45" s="180">
        <f ca="1">MIN(OFFSET(TblPop[[#This Row],[Jobs]],1,0)/TblPop[[#This Row],[Peasants]],1)</f>
        <v>1</v>
      </c>
      <c r="J45" s="181">
        <f ca="1">SUM(TblConstr[[#This Row],[Tot Alc]:[Tot GT]],TblConstr[[#This Row],[Tot Shr]:[Tot Doc]],TblConstr[[#This Row],[Dest Alc]:[Dest GT]],TblConstr[[#This Row],[Dest Shr]:[Dest Doc]])*building_employment</f>
        <v>5780</v>
      </c>
      <c r="K45" s="182"/>
      <c r="L45" s="183">
        <f ca="1">TblPop[[#This Row],[Draftees]]</f>
        <v>166</v>
      </c>
      <c r="M45" s="183">
        <f ca="1">TblMili[[#This Row],[Unit 1]]</f>
        <v>0</v>
      </c>
      <c r="N45" s="183">
        <f ca="1">TblMili[[#This Row],[Unit 2]]</f>
        <v>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7134</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5" s="124">
        <f ca="1">MAX(-5%*TblPop[[#This Row],[Peasants]]-TblPop[[#This Row],[Draft Growth]],MIN(OFFSET(TblPop[[#This Row],[Net max]],1,0)-TblPop[[#This Row],[Peasants]]-TblPop[[#This Row],[Military]]-TblPop[[#This Row],[Draft Growth]],TblPop[[#This Row],[Modded Birth]]-TblPop[[#This Row],[Draft Growth]]))</f>
        <v>245</v>
      </c>
      <c r="X45" s="124">
        <f ca="1">ROUND(TblPop[[#This Row],[Raw Birth]]*(1+TblPop[[#This Row],[Growth]]),0)</f>
        <v>303</v>
      </c>
      <c r="Y45" s="124">
        <f ca="1">(TblPop[[#This Row],[Peasants]]-TblPop[[#This Row],[Draft Growth]])*raw_pop_growth</f>
        <v>171.6</v>
      </c>
      <c r="Z45" s="124">
        <f ca="1">IF(TblPop[[#This Row],[Military%]]&lt;TblMili[[#This Row],[Draftrate]],ROUND(TblPop[[#This Row],[Peasants]]*Constants!$B$53,0), 0)</f>
        <v>58</v>
      </c>
      <c r="AA45" s="184"/>
      <c r="AB45" s="185">
        <f ca="1">Overview!$I$16 + IF(Magic!AD45&gt;0,Constants!$F$77) + ROUND(6*(Construction!BM46+Construction!CK45)/IF(Explore!S46&gt;0,Construction!F46-20,Construction!F46),4) + tech_6_5_2*Techs!BJ45 + tech_8_4*Techs!BT45</f>
        <v>0.76429999999999998</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44406.499999999898</v>
      </c>
      <c r="C46" s="124">
        <f ca="1">OFFSET(TblPop[[#This Row],[Peasants]],-1,0)+OFFSET(TblPop[[#This Row],[Net Peasant]],-1,0)+TblMili[[#This Row],[Release Draft]]</f>
        <v>6023</v>
      </c>
      <c r="D46" s="124">
        <f ca="1">TblMili[[#This Row],[Military]]</f>
        <v>274</v>
      </c>
      <c r="E46" s="124">
        <f ca="1">TblMili[[#This Row],[Draftees]]</f>
        <v>224</v>
      </c>
      <c r="F46" s="124">
        <f ca="1">TblPop[[#This Row],[Peasants]]+TblPop[[#This Row],[Military]]</f>
        <v>6297</v>
      </c>
      <c r="G46" s="180">
        <f ca="1">TblPop[[#This Row],[Military]]/TblPop[[#This Row],[Total]]</f>
        <v>4.3512783865332701E-2</v>
      </c>
      <c r="H46" s="181">
        <f ca="1">MIN(TblPop[[#This Row],[Peasants]],TblPop[[#This Row],[Jobs]])</f>
        <v>5780</v>
      </c>
      <c r="I46" s="180">
        <f ca="1">MIN(OFFSET(TblPop[[#This Row],[Jobs]],1,0)/TblPop[[#This Row],[Peasants]],1)</f>
        <v>0.9596546571476009</v>
      </c>
      <c r="J46" s="181">
        <f ca="1">SUM(TblConstr[[#This Row],[Tot Alc]:[Tot GT]],TblConstr[[#This Row],[Tot Shr]:[Tot Doc]],TblConstr[[#This Row],[Dest Alc]:[Dest GT]],TblConstr[[#This Row],[Dest Shr]:[Dest Doc]])*building_employment</f>
        <v>5780</v>
      </c>
      <c r="K46" s="182"/>
      <c r="L46" s="183">
        <f ca="1">TblPop[[#This Row],[Draftees]]</f>
        <v>224</v>
      </c>
      <c r="M46" s="183">
        <f ca="1">TblMili[[#This Row],[Unit 1]]</f>
        <v>0</v>
      </c>
      <c r="N46" s="183">
        <f ca="1">TblMili[[#This Row],[Unit 2]]</f>
        <v>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7134</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6" s="124">
        <f ca="1">MAX(-5%*TblPop[[#This Row],[Peasants]]-TblPop[[#This Row],[Draft Growth]],MIN(OFFSET(TblPop[[#This Row],[Net max]],1,0)-TblPop[[#This Row],[Peasants]]-TblPop[[#This Row],[Military]]-TblPop[[#This Row],[Draft Growth]],TblPop[[#This Row],[Modded Birth]]-TblPop[[#This Row],[Draft Growth]]))</f>
        <v>256</v>
      </c>
      <c r="X46" s="124">
        <f ca="1">ROUND(TblPop[[#This Row],[Raw Birth]]*(1+TblPop[[#This Row],[Growth]]),0)</f>
        <v>316</v>
      </c>
      <c r="Y46" s="124">
        <f ca="1">(TblPop[[#This Row],[Peasants]]-TblPop[[#This Row],[Draft Growth]])*raw_pop_growth</f>
        <v>178.89</v>
      </c>
      <c r="Z46" s="124">
        <f ca="1">IF(TblPop[[#This Row],[Military%]]&lt;TblMili[[#This Row],[Draftrate]],ROUND(TblPop[[#This Row],[Peasants]]*Constants!$B$53,0), 0)</f>
        <v>60</v>
      </c>
      <c r="AA46" s="184"/>
      <c r="AB46" s="185">
        <f ca="1">Overview!$I$16 + IF(Magic!AD46&gt;0,Constants!$F$77) + ROUND(6*(Construction!BM47+Construction!CK46)/IF(Explore!S47&gt;0,Construction!F47-20,Construction!F47),4) + tech_6_5_2*Techs!BJ46 + tech_8_4*Techs!BT46</f>
        <v>0.76429999999999998</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44406.541666666562</v>
      </c>
      <c r="C47" s="124">
        <f ca="1">OFFSET(TblPop[[#This Row],[Peasants]],-1,0)+OFFSET(TblPop[[#This Row],[Net Peasant]],-1,0)+TblMili[[#This Row],[Release Draft]]</f>
        <v>6279</v>
      </c>
      <c r="D47" s="124">
        <f ca="1">TblMili[[#This Row],[Military]]</f>
        <v>334</v>
      </c>
      <c r="E47" s="124">
        <f ca="1">TblMili[[#This Row],[Draftees]]</f>
        <v>284</v>
      </c>
      <c r="F47" s="124">
        <f ca="1">TblPop[[#This Row],[Peasants]]+TblPop[[#This Row],[Military]]</f>
        <v>6613</v>
      </c>
      <c r="G47" s="180">
        <f ca="1">TblPop[[#This Row],[Military]]/TblPop[[#This Row],[Total]]</f>
        <v>5.050657795251777E-2</v>
      </c>
      <c r="H47" s="181">
        <f ca="1">MIN(TblPop[[#This Row],[Peasants]],TblPop[[#This Row],[Jobs]])</f>
        <v>5780</v>
      </c>
      <c r="I47" s="180">
        <f ca="1">MIN(OFFSET(TblPop[[#This Row],[Jobs]],1,0)/TblPop[[#This Row],[Peasants]],1)</f>
        <v>0.92052874661570316</v>
      </c>
      <c r="J47" s="181">
        <f ca="1">SUM(TblConstr[[#This Row],[Tot Alc]:[Tot GT]],TblConstr[[#This Row],[Tot Shr]:[Tot Doc]],TblConstr[[#This Row],[Dest Alc]:[Dest GT]],TblConstr[[#This Row],[Dest Shr]:[Dest Doc]])*building_employment</f>
        <v>5780</v>
      </c>
      <c r="K47" s="182"/>
      <c r="L47" s="183">
        <f ca="1">TblPop[[#This Row],[Draftees]]</f>
        <v>284</v>
      </c>
      <c r="M47" s="183">
        <f ca="1">TblMili[[#This Row],[Unit 1]]</f>
        <v>0</v>
      </c>
      <c r="N47" s="183">
        <f ca="1">TblMili[[#This Row],[Unit 2]]</f>
        <v>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7134</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7" s="124">
        <f ca="1">MAX(-5%*TblPop[[#This Row],[Peasants]]-TblPop[[#This Row],[Draft Growth]],MIN(OFFSET(TblPop[[#This Row],[Net max]],1,0)-TblPop[[#This Row],[Peasants]]-TblPop[[#This Row],[Military]]-TblPop[[#This Row],[Draft Growth]],TblPop[[#This Row],[Modded Birth]]-TblPop[[#This Row],[Draft Growth]]))</f>
        <v>266</v>
      </c>
      <c r="X47" s="124">
        <f ca="1">ROUND(TblPop[[#This Row],[Raw Birth]]*(1+TblPop[[#This Row],[Growth]]),0)</f>
        <v>329</v>
      </c>
      <c r="Y47" s="124">
        <f ca="1">(TblPop[[#This Row],[Peasants]]-TblPop[[#This Row],[Draft Growth]])*raw_pop_growth</f>
        <v>186.48</v>
      </c>
      <c r="Z47" s="124">
        <f ca="1">IF(TblPop[[#This Row],[Military%]]&lt;TblMili[[#This Row],[Draftrate]],ROUND(TblPop[[#This Row],[Peasants]]*Constants!$B$53,0), 0)</f>
        <v>63</v>
      </c>
      <c r="AA47" s="184"/>
      <c r="AB47" s="185">
        <f ca="1">Overview!$I$16 + IF(Magic!AD47&gt;0,Constants!$F$77) + ROUND(6*(Construction!BM48+Construction!CK47)/IF(Explore!S48&gt;0,Construction!F48-20,Construction!F48),4) + tech_6_5_2*Techs!BJ47 + tech_8_4*Techs!BT47</f>
        <v>0.76429999999999998</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44406.583333333227</v>
      </c>
      <c r="C48" s="124">
        <f ca="1">OFFSET(TblPop[[#This Row],[Peasants]],-1,0)+OFFSET(TblPop[[#This Row],[Net Peasant]],-1,0)+TblMili[[#This Row],[Release Draft]]</f>
        <v>6545</v>
      </c>
      <c r="D48" s="124">
        <f ca="1">TblMili[[#This Row],[Military]]</f>
        <v>397</v>
      </c>
      <c r="E48" s="124">
        <f ca="1">TblMili[[#This Row],[Draftees]]</f>
        <v>347</v>
      </c>
      <c r="F48" s="124">
        <f ca="1">TblPop[[#This Row],[Peasants]]+TblPop[[#This Row],[Military]]</f>
        <v>6942</v>
      </c>
      <c r="G48" s="180">
        <f ca="1">TblPop[[#This Row],[Military]]/TblPop[[#This Row],[Total]]</f>
        <v>5.7188130221838086E-2</v>
      </c>
      <c r="H48" s="181">
        <f ca="1">MIN(TblPop[[#This Row],[Peasants]],TblPop[[#This Row],[Jobs]])</f>
        <v>5780</v>
      </c>
      <c r="I48" s="180">
        <f ca="1">MIN(OFFSET(TblPop[[#This Row],[Jobs]],1,0)/TblPop[[#This Row],[Peasants]],1)</f>
        <v>0.88311688311688308</v>
      </c>
      <c r="J48" s="181">
        <f ca="1">SUM(TblConstr[[#This Row],[Tot Alc]:[Tot GT]],TblConstr[[#This Row],[Tot Shr]:[Tot Doc]],TblConstr[[#This Row],[Dest Alc]:[Dest GT]],TblConstr[[#This Row],[Dest Shr]:[Dest Doc]])*building_employment</f>
        <v>5780</v>
      </c>
      <c r="K48" s="182"/>
      <c r="L48" s="183">
        <f ca="1">TblPop[[#This Row],[Draftees]]</f>
        <v>347</v>
      </c>
      <c r="M48" s="183">
        <f ca="1">TblMili[[#This Row],[Unit 1]]</f>
        <v>0</v>
      </c>
      <c r="N48" s="183">
        <f ca="1">TblMili[[#This Row],[Unit 2]]</f>
        <v>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7134</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8" s="124">
        <f ca="1">MAX(-5%*TblPop[[#This Row],[Peasants]]-TblPop[[#This Row],[Draft Growth]],MIN(OFFSET(TblPop[[#This Row],[Net max]],1,0)-TblPop[[#This Row],[Peasants]]-TblPop[[#This Row],[Military]]-TblPop[[#This Row],[Draft Growth]],TblPop[[#This Row],[Modded Birth]]-TblPop[[#This Row],[Draft Growth]]))</f>
        <v>127</v>
      </c>
      <c r="X48" s="124">
        <f ca="1">ROUND(TblPop[[#This Row],[Raw Birth]]*(1+TblPop[[#This Row],[Growth]]),0)</f>
        <v>343</v>
      </c>
      <c r="Y48" s="124">
        <f ca="1">(TblPop[[#This Row],[Peasants]]-TblPop[[#This Row],[Draft Growth]])*raw_pop_growth</f>
        <v>194.4</v>
      </c>
      <c r="Z48" s="124">
        <f ca="1">IF(TblPop[[#This Row],[Military%]]&lt;TblMili[[#This Row],[Draftrate]],ROUND(TblPop[[#This Row],[Peasants]]*Constants!$B$53,0), 0)</f>
        <v>65</v>
      </c>
      <c r="AA48" s="184"/>
      <c r="AB48" s="185">
        <f ca="1">Overview!$I$16 + IF(Magic!AD48&gt;0,Constants!$F$77) + ROUND(6*(Construction!BM49+Construction!CK48)/IF(Explore!S49&gt;0,Construction!F49-20,Construction!F49),4) + tech_6_5_2*Techs!BJ48 + tech_8_4*Techs!BT48</f>
        <v>0.76429999999999998</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44406.624999999891</v>
      </c>
      <c r="C49" s="124">
        <f ca="1">OFFSET(TblPop[[#This Row],[Peasants]],-1,0)+OFFSET(TblPop[[#This Row],[Net Peasant]],-1,0)+TblMili[[#This Row],[Release Draft]]</f>
        <v>6672</v>
      </c>
      <c r="D49" s="124">
        <f ca="1">TblMili[[#This Row],[Military]]</f>
        <v>462</v>
      </c>
      <c r="E49" s="124">
        <f ca="1">TblMili[[#This Row],[Draftees]]</f>
        <v>412</v>
      </c>
      <c r="F49" s="124">
        <f ca="1">TblPop[[#This Row],[Peasants]]+TblPop[[#This Row],[Military]]</f>
        <v>7134</v>
      </c>
      <c r="G49" s="180">
        <f ca="1">TblPop[[#This Row],[Military]]/TblPop[[#This Row],[Total]]</f>
        <v>6.476030277544155E-2</v>
      </c>
      <c r="H49" s="181">
        <f ca="1">MIN(TblPop[[#This Row],[Peasants]],TblPop[[#This Row],[Jobs]])</f>
        <v>5780</v>
      </c>
      <c r="I49" s="180">
        <f ca="1">MIN(OFFSET(TblPop[[#This Row],[Jobs]],1,0)/TblPop[[#This Row],[Peasants]],1)</f>
        <v>0.86630695443645089</v>
      </c>
      <c r="J49" s="181">
        <f ca="1">SUM(TblConstr[[#This Row],[Tot Alc]:[Tot GT]],TblConstr[[#This Row],[Tot Shr]:[Tot Doc]],TblConstr[[#This Row],[Dest Alc]:[Dest GT]],TblConstr[[#This Row],[Dest Shr]:[Dest Doc]])*building_employment</f>
        <v>5780</v>
      </c>
      <c r="K49" s="182"/>
      <c r="L49" s="183">
        <f ca="1">TblPop[[#This Row],[Draftees]]</f>
        <v>412</v>
      </c>
      <c r="M49" s="183">
        <f ca="1">TblMili[[#This Row],[Unit 1]]</f>
        <v>0</v>
      </c>
      <c r="N49" s="183">
        <f ca="1">TblMili[[#This Row],[Unit 2]]</f>
        <v>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7134</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9" s="124">
        <f ca="1">MAX(-5%*TblPop[[#This Row],[Peasants]]-TblPop[[#This Row],[Draft Growth]],MIN(OFFSET(TblPop[[#This Row],[Net max]],1,0)-TblPop[[#This Row],[Peasants]]-TblPop[[#This Row],[Military]]-TblPop[[#This Row],[Draft Growth]],TblPop[[#This Row],[Modded Birth]]-TblPop[[#This Row],[Draft Growth]]))</f>
        <v>273</v>
      </c>
      <c r="X49" s="124">
        <f ca="1">ROUND(TblPop[[#This Row],[Raw Birth]]*(1+TblPop[[#This Row],[Growth]]),0)</f>
        <v>340</v>
      </c>
      <c r="Y49" s="124">
        <f ca="1">(TblPop[[#This Row],[Peasants]]-TblPop[[#This Row],[Draft Growth]])*raw_pop_growth</f>
        <v>198.15</v>
      </c>
      <c r="Z49" s="124">
        <f ca="1">IF(TblPop[[#This Row],[Military%]]&lt;TblMili[[#This Row],[Draftrate]],ROUND(TblPop[[#This Row],[Peasants]]*Constants!$B$53,0), 0)</f>
        <v>67</v>
      </c>
      <c r="AA49" s="184"/>
      <c r="AB49" s="185">
        <f ca="1">Overview!$I$16 + IF(Magic!AD49&gt;0,Constants!$F$77) + ROUND(6*(Construction!BM50+Construction!CK49)/IF(Explore!S50&gt;0,Construction!F50-20,Construction!F50),4) + tech_6_5_2*Techs!BJ49 + tech_8_4*Techs!BT49</f>
        <v>0.71819999999999995</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44406.666666666555</v>
      </c>
      <c r="C50" s="124">
        <f ca="1">OFFSET(TblPop[[#This Row],[Peasants]],-1,0)+OFFSET(TblPop[[#This Row],[Net Peasant]],-1,0)+TblMili[[#This Row],[Release Draft]]</f>
        <v>6945</v>
      </c>
      <c r="D50" s="124">
        <f ca="1">TblMili[[#This Row],[Military]]</f>
        <v>529</v>
      </c>
      <c r="E50" s="124">
        <f ca="1">TblMili[[#This Row],[Draftees]]</f>
        <v>479</v>
      </c>
      <c r="F50" s="124">
        <f ca="1">TblPop[[#This Row],[Peasants]]+TblPop[[#This Row],[Military]]</f>
        <v>7474</v>
      </c>
      <c r="G50" s="180">
        <f ca="1">TblPop[[#This Row],[Military]]/TblPop[[#This Row],[Total]]</f>
        <v>7.0778699491570785E-2</v>
      </c>
      <c r="H50" s="181">
        <f ca="1">MIN(TblPop[[#This Row],[Peasants]],TblPop[[#This Row],[Jobs]])</f>
        <v>5780</v>
      </c>
      <c r="I50" s="180">
        <f ca="1">MIN(OFFSET(TblPop[[#This Row],[Jobs]],1,0)/TblPop[[#This Row],[Peasants]],1)</f>
        <v>1</v>
      </c>
      <c r="J50" s="181">
        <f ca="1">SUM(TblConstr[[#This Row],[Tot Alc]:[Tot GT]],TblConstr[[#This Row],[Tot Shr]:[Tot Doc]],TblConstr[[#This Row],[Dest Alc]:[Dest GT]],TblConstr[[#This Row],[Dest Shr]:[Dest Doc]])*building_employment</f>
        <v>5780</v>
      </c>
      <c r="K50" s="182"/>
      <c r="L50" s="183">
        <f ca="1">TblPop[[#This Row],[Draftees]]</f>
        <v>479</v>
      </c>
      <c r="M50" s="183">
        <f ca="1">TblMili[[#This Row],[Unit 1]]</f>
        <v>0</v>
      </c>
      <c r="N50" s="183">
        <f ca="1">TblMili[[#This Row],[Unit 2]]</f>
        <v>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7626</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7440</v>
      </c>
      <c r="W50" s="124">
        <f ca="1">MAX(-5%*TblPop[[#This Row],[Peasants]]-TblPop[[#This Row],[Draft Growth]],MIN(OFFSET(TblPop[[#This Row],[Net max]],1,0)-TblPop[[#This Row],[Peasants]]-TblPop[[#This Row],[Military]]-TblPop[[#This Row],[Draft Growth]],TblPop[[#This Row],[Modded Birth]]-TblPop[[#This Row],[Draft Growth]]))</f>
        <v>285</v>
      </c>
      <c r="X50" s="124">
        <f ca="1">ROUND(TblPop[[#This Row],[Raw Birth]]*(1+TblPop[[#This Row],[Growth]]),0)</f>
        <v>354</v>
      </c>
      <c r="Y50" s="124">
        <f ca="1">(TblPop[[#This Row],[Peasants]]-TblPop[[#This Row],[Draft Growth]])*raw_pop_growth</f>
        <v>206.28</v>
      </c>
      <c r="Z50" s="124">
        <f ca="1">IF(TblPop[[#This Row],[Military%]]&lt;TblMili[[#This Row],[Draftrate]],ROUND(TblPop[[#This Row],[Peasants]]*Constants!$B$53,0), 0)</f>
        <v>69</v>
      </c>
      <c r="AA50" s="184"/>
      <c r="AB50" s="185">
        <f ca="1">Overview!$I$16 + IF(Magic!AD50&gt;0,Constants!$F$77) + ROUND(6*(Construction!BM51+Construction!CK50)/IF(Explore!S51&gt;0,Construction!F51-20,Construction!F51),4) + tech_6_5_2*Techs!BJ50 + tech_8_4*Techs!BT50</f>
        <v>0.71540000000000004</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44406.708333333219</v>
      </c>
      <c r="C51" s="124">
        <f ca="1">OFFSET(TblPop[[#This Row],[Peasants]],-1,0)+OFFSET(TblPop[[#This Row],[Net Peasant]],-1,0)+TblMili[[#This Row],[Release Draft]]</f>
        <v>7230</v>
      </c>
      <c r="D51" s="124">
        <f ca="1">TblMili[[#This Row],[Military]]</f>
        <v>598</v>
      </c>
      <c r="E51" s="124">
        <f ca="1">TblMili[[#This Row],[Draftees]]</f>
        <v>548</v>
      </c>
      <c r="F51" s="124">
        <f ca="1">TblPop[[#This Row],[Peasants]]+TblPop[[#This Row],[Military]]</f>
        <v>7828</v>
      </c>
      <c r="G51" s="180">
        <f ca="1">TblPop[[#This Row],[Military]]/TblPop[[#This Row],[Total]]</f>
        <v>7.6392437404190092E-2</v>
      </c>
      <c r="H51" s="181">
        <f ca="1">MIN(TblPop[[#This Row],[Peasants]],TblPop[[#This Row],[Jobs]])</f>
        <v>7230</v>
      </c>
      <c r="I51" s="180">
        <f ca="1">MIN(OFFSET(TblPop[[#This Row],[Jobs]],1,0)/TblPop[[#This Row],[Peasants]],1)</f>
        <v>1</v>
      </c>
      <c r="J51" s="181">
        <f ca="1">SUM(TblConstr[[#This Row],[Tot Alc]:[Tot GT]],TblConstr[[#This Row],[Tot Shr]:[Tot Doc]],TblConstr[[#This Row],[Dest Alc]:[Dest GT]],TblConstr[[#This Row],[Dest Shr]:[Dest Doc]])*building_employment</f>
        <v>8480</v>
      </c>
      <c r="K51" s="182"/>
      <c r="L51" s="183">
        <f ca="1">TblPop[[#This Row],[Draftees]]</f>
        <v>548</v>
      </c>
      <c r="M51" s="183">
        <f ca="1">TblMili[[#This Row],[Unit 1]]</f>
        <v>0</v>
      </c>
      <c r="N51" s="183">
        <f ca="1">TblMili[[#This Row],[Unit 2]]</f>
        <v>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8646</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8435</v>
      </c>
      <c r="W51" s="124">
        <f ca="1">MAX(-5%*TblPop[[#This Row],[Peasants]]-TblPop[[#This Row],[Draft Growth]],MIN(OFFSET(TblPop[[#This Row],[Net max]],1,0)-TblPop[[#This Row],[Peasants]]-TblPop[[#This Row],[Military]]-TblPop[[#This Row],[Draft Growth]],TblPop[[#This Row],[Modded Birth]]-TblPop[[#This Row],[Draft Growth]]))</f>
        <v>296</v>
      </c>
      <c r="X51" s="124">
        <f ca="1">ROUND(TblPop[[#This Row],[Raw Birth]]*(1+TblPop[[#This Row],[Growth]]),0)</f>
        <v>368</v>
      </c>
      <c r="Y51" s="124">
        <f ca="1">(TblPop[[#This Row],[Peasants]]-TblPop[[#This Row],[Draft Growth]])*raw_pop_growth</f>
        <v>214.73999999999998</v>
      </c>
      <c r="Z51" s="124">
        <f ca="1">IF(TblPop[[#This Row],[Military%]]&lt;TblMili[[#This Row],[Draftrate]],ROUND(TblPop[[#This Row],[Peasants]]*Constants!$B$53,0), 0)</f>
        <v>72</v>
      </c>
      <c r="AA51" s="184"/>
      <c r="AB51" s="185">
        <f ca="1">Overview!$I$16 + IF(Magic!AD51&gt;0,Constants!$F$77) + ROUND(6*(Construction!BM52+Construction!CK51)/IF(Explore!S52&gt;0,Construction!F52-20,Construction!F52),4) + tech_6_5_2*Techs!BJ51 + tech_8_4*Techs!BT51</f>
        <v>0.71240000000000003</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44406.749999999884</v>
      </c>
      <c r="C52" s="124">
        <f ca="1">OFFSET(TblPop[[#This Row],[Peasants]],-1,0)+OFFSET(TblPop[[#This Row],[Net Peasant]],-1,0)+TblMili[[#This Row],[Release Draft]]</f>
        <v>7526</v>
      </c>
      <c r="D52" s="124">
        <f ca="1">TblMili[[#This Row],[Military]]</f>
        <v>670</v>
      </c>
      <c r="E52" s="124">
        <f ca="1">TblMili[[#This Row],[Draftees]]</f>
        <v>620</v>
      </c>
      <c r="F52" s="124">
        <f ca="1">TblPop[[#This Row],[Peasants]]+TblPop[[#This Row],[Military]]</f>
        <v>8196</v>
      </c>
      <c r="G52" s="180">
        <f ca="1">TblPop[[#This Row],[Military]]/TblPop[[#This Row],[Total]]</f>
        <v>8.1747193753050271E-2</v>
      </c>
      <c r="H52" s="181">
        <f ca="1">MIN(TblPop[[#This Row],[Peasants]],TblPop[[#This Row],[Jobs]])</f>
        <v>7526</v>
      </c>
      <c r="I52" s="180">
        <f ca="1">MIN(OFFSET(TblPop[[#This Row],[Jobs]],1,0)/TblPop[[#This Row],[Peasants]],1)</f>
        <v>1</v>
      </c>
      <c r="J52" s="181">
        <f ca="1">SUM(TblConstr[[#This Row],[Tot Alc]:[Tot GT]],TblConstr[[#This Row],[Tot Shr]:[Tot Doc]],TblConstr[[#This Row],[Dest Alc]:[Dest GT]],TblConstr[[#This Row],[Dest Shr]:[Dest Doc]])*building_employment</f>
        <v>8480</v>
      </c>
      <c r="K52" s="182"/>
      <c r="L52" s="183">
        <f ca="1">TblPop[[#This Row],[Draftees]]</f>
        <v>620</v>
      </c>
      <c r="M52" s="183">
        <f ca="1">TblMili[[#This Row],[Unit 1]]</f>
        <v>0</v>
      </c>
      <c r="N52" s="183">
        <f ca="1">TblMili[[#This Row],[Unit 2]]</f>
        <v>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8759</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8545</v>
      </c>
      <c r="W52" s="124">
        <f ca="1">MAX(-5%*TblPop[[#This Row],[Peasants]]-TblPop[[#This Row],[Draft Growth]],MIN(OFFSET(TblPop[[#This Row],[Net max]],1,0)-TblPop[[#This Row],[Peasants]]-TblPop[[#This Row],[Military]]-TblPop[[#This Row],[Draft Growth]],TblPop[[#This Row],[Modded Birth]]-TblPop[[#This Row],[Draft Growth]]))</f>
        <v>306</v>
      </c>
      <c r="X52" s="124">
        <f ca="1">ROUND(TblPop[[#This Row],[Raw Birth]]*(1+TblPop[[#This Row],[Growth]]),0)</f>
        <v>381</v>
      </c>
      <c r="Y52" s="124">
        <f ca="1">(TblPop[[#This Row],[Peasants]]-TblPop[[#This Row],[Draft Growth]])*raw_pop_growth</f>
        <v>223.53</v>
      </c>
      <c r="Z52" s="124">
        <f ca="1">IF(TblPop[[#This Row],[Military%]]&lt;TblMili[[#This Row],[Draftrate]],ROUND(TblPop[[#This Row],[Peasants]]*Constants!$B$53,0), 0)</f>
        <v>75</v>
      </c>
      <c r="AA52" s="184"/>
      <c r="AB52" s="185">
        <f ca="1">Overview!$I$16 + IF(Magic!AD52&gt;0,Constants!$F$77) + ROUND(6*(Construction!BM53+Construction!CK52)/IF(Explore!S53&gt;0,Construction!F53-20,Construction!F53),4) + tech_6_5_2*Techs!BJ52 + tech_8_4*Techs!BT52</f>
        <v>0.70240000000000002</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44406.791666666548</v>
      </c>
      <c r="C53" s="124">
        <f ca="1">OFFSET(TblPop[[#This Row],[Peasants]],-1,0)+OFFSET(TblPop[[#This Row],[Net Peasant]],-1,0)+TblMili[[#This Row],[Release Draft]]</f>
        <v>7832</v>
      </c>
      <c r="D53" s="124">
        <f ca="1">TblMili[[#This Row],[Military]]</f>
        <v>745</v>
      </c>
      <c r="E53" s="124">
        <f ca="1">TblMili[[#This Row],[Draftees]]</f>
        <v>695</v>
      </c>
      <c r="F53" s="124">
        <f ca="1">TblPop[[#This Row],[Peasants]]+TblPop[[#This Row],[Military]]</f>
        <v>8577</v>
      </c>
      <c r="G53" s="180">
        <f ca="1">TblPop[[#This Row],[Military]]/TblPop[[#This Row],[Total]]</f>
        <v>8.6860207531771011E-2</v>
      </c>
      <c r="H53" s="181">
        <f ca="1">MIN(TblPop[[#This Row],[Peasants]],TblPop[[#This Row],[Jobs]])</f>
        <v>7832</v>
      </c>
      <c r="I53" s="180">
        <f ca="1">MIN(OFFSET(TblPop[[#This Row],[Jobs]],1,0)/TblPop[[#This Row],[Peasants]],1)</f>
        <v>1</v>
      </c>
      <c r="J53" s="181">
        <f ca="1">SUM(TblConstr[[#This Row],[Tot Alc]:[Tot GT]],TblConstr[[#This Row],[Tot Shr]:[Tot Doc]],TblConstr[[#This Row],[Dest Alc]:[Dest GT]],TblConstr[[#This Row],[Dest Shr]:[Dest Doc]])*building_employment</f>
        <v>8480</v>
      </c>
      <c r="K53" s="182"/>
      <c r="L53" s="183">
        <f ca="1">TblPop[[#This Row],[Draftees]]</f>
        <v>695</v>
      </c>
      <c r="M53" s="183">
        <f ca="1">TblMili[[#This Row],[Unit 1]]</f>
        <v>0</v>
      </c>
      <c r="N53" s="183">
        <f ca="1">TblMili[[#This Row],[Unit 2]]</f>
        <v>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9189</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8965</v>
      </c>
      <c r="W53" s="124">
        <f ca="1">MAX(-5%*TblPop[[#This Row],[Peasants]]-TblPop[[#This Row],[Draft Growth]],MIN(OFFSET(TblPop[[#This Row],[Net max]],1,0)-TblPop[[#This Row],[Peasants]]-TblPop[[#This Row],[Military]]-TblPop[[#This Row],[Draft Growth]],TblPop[[#This Row],[Modded Birth]]-TblPop[[#This Row],[Draft Growth]]))</f>
        <v>317</v>
      </c>
      <c r="X53" s="124">
        <f ca="1">ROUND(TblPop[[#This Row],[Raw Birth]]*(1+TblPop[[#This Row],[Growth]]),0)</f>
        <v>395</v>
      </c>
      <c r="Y53" s="124">
        <f ca="1">(TblPop[[#This Row],[Peasants]]-TblPop[[#This Row],[Draft Growth]])*raw_pop_growth</f>
        <v>232.62</v>
      </c>
      <c r="Z53" s="124">
        <f ca="1">IF(TblPop[[#This Row],[Military%]]&lt;TblMili[[#This Row],[Draftrate]],ROUND(TblPop[[#This Row],[Peasants]]*Constants!$B$53,0), 0)</f>
        <v>78</v>
      </c>
      <c r="AA53" s="184"/>
      <c r="AB53" s="185">
        <f ca="1">Overview!$I$16 + IF(Magic!AD53&gt;0,Constants!$F$77) + ROUND(6*(Construction!BM54+Construction!CK53)/IF(Explore!S54&gt;0,Construction!F54-20,Construction!F54),4) + tech_6_5_2*Techs!BJ53 + tech_8_4*Techs!BT53</f>
        <v>0.7</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44406.833333333212</v>
      </c>
      <c r="C54" s="124">
        <f ca="1">OFFSET(TblPop[[#This Row],[Peasants]],-1,0)+OFFSET(TblPop[[#This Row],[Net Peasant]],-1,0)+TblMili[[#This Row],[Release Draft]]</f>
        <v>8149</v>
      </c>
      <c r="D54" s="124">
        <f ca="1">TblMili[[#This Row],[Military]]</f>
        <v>823</v>
      </c>
      <c r="E54" s="124">
        <f ca="1">TblMili[[#This Row],[Draftees]]</f>
        <v>773</v>
      </c>
      <c r="F54" s="124">
        <f ca="1">TblPop[[#This Row],[Peasants]]+TblPop[[#This Row],[Military]]</f>
        <v>8972</v>
      </c>
      <c r="G54" s="180">
        <f ca="1">TblPop[[#This Row],[Military]]/TblPop[[#This Row],[Total]]</f>
        <v>9.1729826125724473E-2</v>
      </c>
      <c r="H54" s="181">
        <f ca="1">MIN(TblPop[[#This Row],[Peasants]],TblPop[[#This Row],[Jobs]])</f>
        <v>8149</v>
      </c>
      <c r="I54" s="180">
        <f ca="1">MIN(OFFSET(TblPop[[#This Row],[Jobs]],1,0)/TblPop[[#This Row],[Peasants]],1)</f>
        <v>1</v>
      </c>
      <c r="J54" s="181">
        <f ca="1">SUM(TblConstr[[#This Row],[Tot Alc]:[Tot GT]],TblConstr[[#This Row],[Tot Shr]:[Tot Doc]],TblConstr[[#This Row],[Dest Alc]:[Dest GT]],TblConstr[[#This Row],[Dest Shr]:[Dest Doc]])*building_employment</f>
        <v>8480</v>
      </c>
      <c r="K54" s="182"/>
      <c r="L54" s="183">
        <f ca="1">TblPop[[#This Row],[Draftees]]</f>
        <v>773</v>
      </c>
      <c r="M54" s="183">
        <f ca="1">TblMili[[#This Row],[Unit 1]]</f>
        <v>0</v>
      </c>
      <c r="N54" s="183">
        <f ca="1">TblMili[[#This Row],[Unit 2]]</f>
        <v>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9307</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9080</v>
      </c>
      <c r="W54" s="124">
        <f ca="1">MAX(-5%*TblPop[[#This Row],[Peasants]]-TblPop[[#This Row],[Draft Growth]],MIN(OFFSET(TblPop[[#This Row],[Net max]],1,0)-TblPop[[#This Row],[Peasants]]-TblPop[[#This Row],[Military]]-TblPop[[#This Row],[Draft Growth]],TblPop[[#This Row],[Modded Birth]]-TblPop[[#This Row],[Draft Growth]]))</f>
        <v>326</v>
      </c>
      <c r="X54" s="124">
        <f ca="1">ROUND(TblPop[[#This Row],[Raw Birth]]*(1+TblPop[[#This Row],[Growth]]),0)</f>
        <v>411</v>
      </c>
      <c r="Y54" s="124">
        <f ca="1">(TblPop[[#This Row],[Peasants]]-TblPop[[#This Row],[Draft Growth]])*raw_pop_growth</f>
        <v>242.04</v>
      </c>
      <c r="Z54" s="124">
        <f ca="1">IF(TblPop[[#This Row],[Military%]]&lt;TblMili[[#This Row],[Draftrate]],ROUND(TblPop[[#This Row],[Peasants]]*Constants!$B$53,0), 0)</f>
        <v>81</v>
      </c>
      <c r="AA54" s="184"/>
      <c r="AB54" s="185">
        <f ca="1">Overview!$I$16 + IF(Magic!AD54&gt;0,Constants!$F$77) + ROUND(6*(Construction!BM55+Construction!CK54)/IF(Explore!S55&gt;0,Construction!F55-20,Construction!F55),4) + tech_6_5_2*Techs!BJ54 + tech_8_4*Techs!BT54</f>
        <v>0.7</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44406.874999999876</v>
      </c>
      <c r="C55" s="124">
        <f ca="1">OFFSET(TblPop[[#This Row],[Peasants]],-1,0)+OFFSET(TblPop[[#This Row],[Net Peasant]],-1,0)+TblMili[[#This Row],[Release Draft]]</f>
        <v>8475</v>
      </c>
      <c r="D55" s="124">
        <f ca="1">TblMili[[#This Row],[Military]]</f>
        <v>904</v>
      </c>
      <c r="E55" s="124">
        <f ca="1">TblMili[[#This Row],[Draftees]]</f>
        <v>854</v>
      </c>
      <c r="F55" s="124">
        <f ca="1">TblPop[[#This Row],[Peasants]]+TblPop[[#This Row],[Military]]</f>
        <v>9379</v>
      </c>
      <c r="G55" s="180">
        <f ca="1">TblPop[[#This Row],[Military]]/TblPop[[#This Row],[Total]]</f>
        <v>9.6385542168674704E-2</v>
      </c>
      <c r="H55" s="181">
        <f ca="1">MIN(TblPop[[#This Row],[Peasants]],TblPop[[#This Row],[Jobs]])</f>
        <v>8475</v>
      </c>
      <c r="I55" s="180">
        <f ca="1">MIN(OFFSET(TblPop[[#This Row],[Jobs]],1,0)/TblPop[[#This Row],[Peasants]],1)</f>
        <v>1</v>
      </c>
      <c r="J55" s="181">
        <f ca="1">SUM(TblConstr[[#This Row],[Tot Alc]:[Tot GT]],TblConstr[[#This Row],[Tot Shr]:[Tot Doc]],TblConstr[[#This Row],[Dest Alc]:[Dest GT]],TblConstr[[#This Row],[Dest Shr]:[Dest Doc]])*building_employment</f>
        <v>8880</v>
      </c>
      <c r="K55" s="182"/>
      <c r="L55" s="183">
        <f ca="1">TblPop[[#This Row],[Draftees]]</f>
        <v>854</v>
      </c>
      <c r="M55" s="183">
        <f ca="1">TblMili[[#This Row],[Unit 1]]</f>
        <v>0</v>
      </c>
      <c r="N55" s="183">
        <f ca="1">TblMili[[#This Row],[Unit 2]]</f>
        <v>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9379</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5" s="124">
        <f ca="1">MAX(-5%*TblPop[[#This Row],[Peasants]]-TblPop[[#This Row],[Draft Growth]],MIN(OFFSET(TblPop[[#This Row],[Net max]],1,0)-TblPop[[#This Row],[Peasants]]-TblPop[[#This Row],[Military]]-TblPop[[#This Row],[Draft Growth]],TblPop[[#This Row],[Modded Birth]]-TblPop[[#This Row],[Draft Growth]]))</f>
        <v>-85</v>
      </c>
      <c r="X55" s="124">
        <f ca="1">ROUND(TblPop[[#This Row],[Raw Birth]]*(1+TblPop[[#This Row],[Growth]]),0)</f>
        <v>428</v>
      </c>
      <c r="Y55" s="124">
        <f ca="1">(TblPop[[#This Row],[Peasants]]-TblPop[[#This Row],[Draft Growth]])*raw_pop_growth</f>
        <v>251.7</v>
      </c>
      <c r="Z55" s="124">
        <f ca="1">IF(TblPop[[#This Row],[Military%]]&lt;TblMili[[#This Row],[Draftrate]],ROUND(TblPop[[#This Row],[Peasants]]*Constants!$B$53,0), 0)</f>
        <v>85</v>
      </c>
      <c r="AA55" s="184"/>
      <c r="AB55" s="185">
        <f ca="1">Overview!$I$16 + IF(Magic!AD55&gt;0,Constants!$F$77) + ROUND(6*(Construction!BM56+Construction!CK55)/IF(Explore!S56&gt;0,Construction!F56-20,Construction!F56),4) + tech_6_5_2*Techs!BJ55 + tech_8_4*Techs!BT55</f>
        <v>0.7</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44406.916666666541</v>
      </c>
      <c r="C56" s="124">
        <f ca="1">OFFSET(TblPop[[#This Row],[Peasants]],-1,0)+OFFSET(TblPop[[#This Row],[Net Peasant]],-1,0)+TblMili[[#This Row],[Release Draft]]</f>
        <v>8390</v>
      </c>
      <c r="D56" s="124">
        <f ca="1">TblMili[[#This Row],[Military]]</f>
        <v>989</v>
      </c>
      <c r="E56" s="124">
        <f ca="1">TblMili[[#This Row],[Draftees]]</f>
        <v>939</v>
      </c>
      <c r="F56" s="124">
        <f ca="1">TblPop[[#This Row],[Peasants]]+TblPop[[#This Row],[Military]]</f>
        <v>9379</v>
      </c>
      <c r="G56" s="180">
        <f ca="1">TblPop[[#This Row],[Military]]/TblPop[[#This Row],[Total]]</f>
        <v>0.1054483420407293</v>
      </c>
      <c r="H56" s="181">
        <f ca="1">MIN(TblPop[[#This Row],[Peasants]],TblPop[[#This Row],[Jobs]])</f>
        <v>8390</v>
      </c>
      <c r="I56" s="180">
        <f ca="1">MIN(OFFSET(TblPop[[#This Row],[Jobs]],1,0)/TblPop[[#This Row],[Peasants]],1)</f>
        <v>1</v>
      </c>
      <c r="J56" s="181">
        <f ca="1">SUM(TblConstr[[#This Row],[Tot Alc]:[Tot GT]],TblConstr[[#This Row],[Tot Shr]:[Tot Doc]],TblConstr[[#This Row],[Dest Alc]:[Dest GT]],TblConstr[[#This Row],[Dest Shr]:[Dest Doc]])*building_employment</f>
        <v>8880</v>
      </c>
      <c r="K56" s="182"/>
      <c r="L56" s="183">
        <f ca="1">TblPop[[#This Row],[Draftees]]</f>
        <v>939</v>
      </c>
      <c r="M56" s="183">
        <f ca="1">TblMili[[#This Row],[Unit 1]]</f>
        <v>0</v>
      </c>
      <c r="N56" s="183">
        <f ca="1">TblMili[[#This Row],[Unit 2]]</f>
        <v>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9379</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6" s="124">
        <f ca="1">MAX(-5%*TblPop[[#This Row],[Peasants]]-TblPop[[#This Row],[Draft Growth]],MIN(OFFSET(TblPop[[#This Row],[Net max]],1,0)-TblPop[[#This Row],[Peasants]]-TblPop[[#This Row],[Military]]-TblPop[[#This Row],[Draft Growth]],TblPop[[#This Row],[Modded Birth]]-TblPop[[#This Row],[Draft Growth]]))</f>
        <v>-84</v>
      </c>
      <c r="X56" s="124">
        <f ca="1">ROUND(TblPop[[#This Row],[Raw Birth]]*(1+TblPop[[#This Row],[Growth]]),0)</f>
        <v>424</v>
      </c>
      <c r="Y56" s="124">
        <f ca="1">(TblPop[[#This Row],[Peasants]]-TblPop[[#This Row],[Draft Growth]])*raw_pop_growth</f>
        <v>249.17999999999998</v>
      </c>
      <c r="Z56" s="124">
        <f ca="1">IF(TblPop[[#This Row],[Military%]]&lt;TblMili[[#This Row],[Draftrate]],ROUND(TblPop[[#This Row],[Peasants]]*Constants!$B$53,0), 0)</f>
        <v>84</v>
      </c>
      <c r="AA56" s="184"/>
      <c r="AB56" s="185">
        <f ca="1">Overview!$I$16 + IF(Magic!AD56&gt;0,Constants!$F$77) + ROUND(6*(Construction!BM57+Construction!CK56)/IF(Explore!S57&gt;0,Construction!F57-20,Construction!F57),4) + tech_6_5_2*Techs!BJ56 + tech_8_4*Techs!BT56</f>
        <v>0.7</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44406.958333333205</v>
      </c>
      <c r="C57" s="124">
        <f ca="1">OFFSET(TblPop[[#This Row],[Peasants]],-1,0)+OFFSET(TblPop[[#This Row],[Net Peasant]],-1,0)+TblMili[[#This Row],[Release Draft]]</f>
        <v>8306</v>
      </c>
      <c r="D57" s="124">
        <f ca="1">TblMili[[#This Row],[Military]]</f>
        <v>1073</v>
      </c>
      <c r="E57" s="124">
        <f ca="1">TblMili[[#This Row],[Draftees]]</f>
        <v>1023</v>
      </c>
      <c r="F57" s="124">
        <f ca="1">TblPop[[#This Row],[Peasants]]+TblPop[[#This Row],[Military]]</f>
        <v>9379</v>
      </c>
      <c r="G57" s="180">
        <f ca="1">TblPop[[#This Row],[Military]]/TblPop[[#This Row],[Total]]</f>
        <v>0.11440452073781852</v>
      </c>
      <c r="H57" s="181">
        <f ca="1">MIN(TblPop[[#This Row],[Peasants]],TblPop[[#This Row],[Jobs]])</f>
        <v>8306</v>
      </c>
      <c r="I57" s="180">
        <f ca="1">MIN(OFFSET(TblPop[[#This Row],[Jobs]],1,0)/TblPop[[#This Row],[Peasants]],1)</f>
        <v>1</v>
      </c>
      <c r="J57" s="181">
        <f ca="1">SUM(TblConstr[[#This Row],[Tot Alc]:[Tot GT]],TblConstr[[#This Row],[Tot Shr]:[Tot Doc]],TblConstr[[#This Row],[Dest Alc]:[Dest GT]],TblConstr[[#This Row],[Dest Shr]:[Dest Doc]])*building_employment</f>
        <v>8880</v>
      </c>
      <c r="K57" s="182"/>
      <c r="L57" s="183">
        <f ca="1">TblPop[[#This Row],[Draftees]]</f>
        <v>1023</v>
      </c>
      <c r="M57" s="183">
        <f ca="1">TblMili[[#This Row],[Unit 1]]</f>
        <v>0</v>
      </c>
      <c r="N57" s="183">
        <f ca="1">TblMili[[#This Row],[Unit 2]]</f>
        <v>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9379</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7" s="124">
        <f ca="1">MAX(-5%*TblPop[[#This Row],[Peasants]]-TblPop[[#This Row],[Draft Growth]],MIN(OFFSET(TblPop[[#This Row],[Net max]],1,0)-TblPop[[#This Row],[Peasants]]-TblPop[[#This Row],[Military]]-TblPop[[#This Row],[Draft Growth]],TblPop[[#This Row],[Modded Birth]]-TblPop[[#This Row],[Draft Growth]]))</f>
        <v>-83</v>
      </c>
      <c r="X57" s="124">
        <f ca="1">ROUND(TblPop[[#This Row],[Raw Birth]]*(1+TblPop[[#This Row],[Growth]]),0)</f>
        <v>419</v>
      </c>
      <c r="Y57" s="124">
        <f ca="1">(TblPop[[#This Row],[Peasants]]-TblPop[[#This Row],[Draft Growth]])*raw_pop_growth</f>
        <v>246.69</v>
      </c>
      <c r="Z57" s="124">
        <f ca="1">IF(TblPop[[#This Row],[Military%]]&lt;TblMili[[#This Row],[Draftrate]],ROUND(TblPop[[#This Row],[Peasants]]*Constants!$B$53,0), 0)</f>
        <v>83</v>
      </c>
      <c r="AA57" s="184"/>
      <c r="AB57" s="185">
        <f ca="1">Overview!$I$16 + IF(Magic!AD57&gt;0,Constants!$F$77) + ROUND(6*(Construction!BM58+Construction!CK57)/IF(Explore!S58&gt;0,Construction!F58-20,Construction!F58),4) + tech_6_5_2*Techs!BJ57 + tech_8_4*Techs!BT57</f>
        <v>0.7</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44406.999999999869</v>
      </c>
      <c r="C58" s="124">
        <f ca="1">OFFSET(TblPop[[#This Row],[Peasants]],-1,0)+OFFSET(TblPop[[#This Row],[Net Peasant]],-1,0)+TblMili[[#This Row],[Release Draft]]</f>
        <v>8223</v>
      </c>
      <c r="D58" s="124">
        <f ca="1">TblMili[[#This Row],[Military]]</f>
        <v>1156</v>
      </c>
      <c r="E58" s="124">
        <f ca="1">TblMili[[#This Row],[Draftees]]</f>
        <v>1106</v>
      </c>
      <c r="F58" s="124">
        <f ca="1">TblPop[[#This Row],[Peasants]]+TblPop[[#This Row],[Military]]</f>
        <v>9379</v>
      </c>
      <c r="G58" s="180">
        <f ca="1">TblPop[[#This Row],[Military]]/TblPop[[#This Row],[Total]]</f>
        <v>0.12325407825994242</v>
      </c>
      <c r="H58" s="181">
        <f ca="1">MIN(TblPop[[#This Row],[Peasants]],TblPop[[#This Row],[Jobs]])</f>
        <v>8223</v>
      </c>
      <c r="I58" s="180">
        <f ca="1">MIN(OFFSET(TblPop[[#This Row],[Jobs]],1,0)/TblPop[[#This Row],[Peasants]],1)</f>
        <v>1</v>
      </c>
      <c r="J58" s="181">
        <f ca="1">SUM(TblConstr[[#This Row],[Tot Alc]:[Tot GT]],TblConstr[[#This Row],[Tot Shr]:[Tot Doc]],TblConstr[[#This Row],[Dest Alc]:[Dest GT]],TblConstr[[#This Row],[Dest Shr]:[Dest Doc]])*building_employment</f>
        <v>8880</v>
      </c>
      <c r="K58" s="182"/>
      <c r="L58" s="183">
        <f ca="1">TblPop[[#This Row],[Draftees]]</f>
        <v>1106</v>
      </c>
      <c r="M58" s="183">
        <f ca="1">TblMili[[#This Row],[Unit 1]]</f>
        <v>0</v>
      </c>
      <c r="N58" s="183">
        <f ca="1">TblMili[[#This Row],[Unit 2]]</f>
        <v>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9379</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8" s="124">
        <f ca="1">MAX(-5%*TblPop[[#This Row],[Peasants]]-TblPop[[#This Row],[Draft Growth]],MIN(OFFSET(TblPop[[#This Row],[Net max]],1,0)-TblPop[[#This Row],[Peasants]]-TblPop[[#This Row],[Military]]-TblPop[[#This Row],[Draft Growth]],TblPop[[#This Row],[Modded Birth]]-TblPop[[#This Row],[Draft Growth]]))</f>
        <v>-82</v>
      </c>
      <c r="X58" s="124">
        <f ca="1">ROUND(TblPop[[#This Row],[Raw Birth]]*(1+TblPop[[#This Row],[Growth]]),0)</f>
        <v>415</v>
      </c>
      <c r="Y58" s="124">
        <f ca="1">(TblPop[[#This Row],[Peasants]]-TblPop[[#This Row],[Draft Growth]])*raw_pop_growth</f>
        <v>244.23</v>
      </c>
      <c r="Z58" s="124">
        <f ca="1">IF(TblPop[[#This Row],[Military%]]&lt;TblMili[[#This Row],[Draftrate]],ROUND(TblPop[[#This Row],[Peasants]]*Constants!$B$53,0), 0)</f>
        <v>82</v>
      </c>
      <c r="AA58" s="184"/>
      <c r="AB58" s="185">
        <f ca="1">Overview!$I$16 + IF(Magic!AD58&gt;0,Constants!$F$77) + ROUND(6*(Construction!BM59+Construction!CK58)/IF(Explore!S59&gt;0,Construction!F59-20,Construction!F59),4) + tech_6_5_2*Techs!BJ58 + tech_8_4*Techs!BT58</f>
        <v>0.7</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44407.041666666533</v>
      </c>
      <c r="C59" s="124">
        <f ca="1">OFFSET(TblPop[[#This Row],[Peasants]],-1,0)+OFFSET(TblPop[[#This Row],[Net Peasant]],-1,0)+TblMili[[#This Row],[Release Draft]]</f>
        <v>8141</v>
      </c>
      <c r="D59" s="124">
        <f ca="1">TblMili[[#This Row],[Military]]</f>
        <v>1238</v>
      </c>
      <c r="E59" s="124">
        <f ca="1">TblMili[[#This Row],[Draftees]]</f>
        <v>1188</v>
      </c>
      <c r="F59" s="124">
        <f ca="1">TblPop[[#This Row],[Peasants]]+TblPop[[#This Row],[Military]]</f>
        <v>9379</v>
      </c>
      <c r="G59" s="180">
        <f ca="1">TblPop[[#This Row],[Military]]/TblPop[[#This Row],[Total]]</f>
        <v>0.13199701460710098</v>
      </c>
      <c r="H59" s="181">
        <f ca="1">MIN(TblPop[[#This Row],[Peasants]],TblPop[[#This Row],[Jobs]])</f>
        <v>8141</v>
      </c>
      <c r="I59" s="180">
        <f ca="1">MIN(OFFSET(TblPop[[#This Row],[Jobs]],1,0)/TblPop[[#This Row],[Peasants]],1)</f>
        <v>1</v>
      </c>
      <c r="J59" s="181">
        <f ca="1">SUM(TblConstr[[#This Row],[Tot Alc]:[Tot GT]],TblConstr[[#This Row],[Tot Shr]:[Tot Doc]],TblConstr[[#This Row],[Dest Alc]:[Dest GT]],TblConstr[[#This Row],[Dest Shr]:[Dest Doc]])*building_employment</f>
        <v>8880</v>
      </c>
      <c r="K59" s="182"/>
      <c r="L59" s="183">
        <f ca="1">TblPop[[#This Row],[Draftees]]</f>
        <v>1188</v>
      </c>
      <c r="M59" s="183">
        <f ca="1">TblMili[[#This Row],[Unit 1]]</f>
        <v>0</v>
      </c>
      <c r="N59" s="183">
        <f ca="1">TblMili[[#This Row],[Unit 2]]</f>
        <v>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9379</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9" s="124">
        <f ca="1">MAX(-5%*TblPop[[#This Row],[Peasants]]-TblPop[[#This Row],[Draft Growth]],MIN(OFFSET(TblPop[[#This Row],[Net max]],1,0)-TblPop[[#This Row],[Peasants]]-TblPop[[#This Row],[Military]]-TblPop[[#This Row],[Draft Growth]],TblPop[[#This Row],[Modded Birth]]-TblPop[[#This Row],[Draft Growth]]))</f>
        <v>-81</v>
      </c>
      <c r="X59" s="124">
        <f ca="1">ROUND(TblPop[[#This Row],[Raw Birth]]*(1+TblPop[[#This Row],[Growth]]),0)</f>
        <v>411</v>
      </c>
      <c r="Y59" s="124">
        <f ca="1">(TblPop[[#This Row],[Peasants]]-TblPop[[#This Row],[Draft Growth]])*raw_pop_growth</f>
        <v>241.79999999999998</v>
      </c>
      <c r="Z59" s="124">
        <f ca="1">IF(TblPop[[#This Row],[Military%]]&lt;TblMili[[#This Row],[Draftrate]],ROUND(TblPop[[#This Row],[Peasants]]*Constants!$B$53,0), 0)</f>
        <v>81</v>
      </c>
      <c r="AA59" s="184"/>
      <c r="AB59" s="185">
        <f ca="1">Overview!$I$16 + IF(Magic!AD59&gt;0,Constants!$F$77) + ROUND(6*(Construction!BM60+Construction!CK59)/IF(Explore!S60&gt;0,Construction!F60-20,Construction!F60),4) + tech_6_5_2*Techs!BJ59 + tech_8_4*Techs!BT59</f>
        <v>0.7</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44407.083333333198</v>
      </c>
      <c r="C60" s="124">
        <f ca="1">OFFSET(TblPop[[#This Row],[Peasants]],-1,0)+OFFSET(TblPop[[#This Row],[Net Peasant]],-1,0)+TblMili[[#This Row],[Release Draft]]</f>
        <v>8060</v>
      </c>
      <c r="D60" s="124">
        <f ca="1">TblMili[[#This Row],[Military]]</f>
        <v>1319</v>
      </c>
      <c r="E60" s="124">
        <f ca="1">TblMili[[#This Row],[Draftees]]</f>
        <v>1269</v>
      </c>
      <c r="F60" s="124">
        <f ca="1">TblPop[[#This Row],[Peasants]]+TblPop[[#This Row],[Military]]</f>
        <v>9379</v>
      </c>
      <c r="G60" s="180">
        <f ca="1">TblPop[[#This Row],[Military]]/TblPop[[#This Row],[Total]]</f>
        <v>0.14063332977929416</v>
      </c>
      <c r="H60" s="181">
        <f ca="1">MIN(TblPop[[#This Row],[Peasants]],TblPop[[#This Row],[Jobs]])</f>
        <v>8060</v>
      </c>
      <c r="I60" s="180">
        <f ca="1">MIN(OFFSET(TblPop[[#This Row],[Jobs]],1,0)/TblPop[[#This Row],[Peasants]],1)</f>
        <v>1</v>
      </c>
      <c r="J60" s="181">
        <f ca="1">SUM(TblConstr[[#This Row],[Tot Alc]:[Tot GT]],TblConstr[[#This Row],[Tot Shr]:[Tot Doc]],TblConstr[[#This Row],[Dest Alc]:[Dest GT]],TblConstr[[#This Row],[Dest Shr]:[Dest Doc]])*building_employment</f>
        <v>8880</v>
      </c>
      <c r="K60" s="182"/>
      <c r="L60" s="183">
        <f ca="1">TblPop[[#This Row],[Draftees]]</f>
        <v>1269</v>
      </c>
      <c r="M60" s="183">
        <f ca="1">TblMili[[#This Row],[Unit 1]]</f>
        <v>0</v>
      </c>
      <c r="N60" s="183">
        <f ca="1">TblMili[[#This Row],[Unit 2]]</f>
        <v>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9379</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0" s="124">
        <f ca="1">MAX(-5%*TblPop[[#This Row],[Peasants]]-TblPop[[#This Row],[Draft Growth]],MIN(OFFSET(TblPop[[#This Row],[Net max]],1,0)-TblPop[[#This Row],[Peasants]]-TblPop[[#This Row],[Military]]-TblPop[[#This Row],[Draft Growth]],TblPop[[#This Row],[Modded Birth]]-TblPop[[#This Row],[Draft Growth]]))</f>
        <v>-81</v>
      </c>
      <c r="X60" s="124">
        <f ca="1">ROUND(TblPop[[#This Row],[Raw Birth]]*(1+TblPop[[#This Row],[Growth]]),0)</f>
        <v>407</v>
      </c>
      <c r="Y60" s="124">
        <f ca="1">(TblPop[[#This Row],[Peasants]]-TblPop[[#This Row],[Draft Growth]])*raw_pop_growth</f>
        <v>239.37</v>
      </c>
      <c r="Z60" s="124">
        <f ca="1">IF(TblPop[[#This Row],[Military%]]&lt;TblMili[[#This Row],[Draftrate]],ROUND(TblPop[[#This Row],[Peasants]]*Constants!$B$53,0), 0)</f>
        <v>81</v>
      </c>
      <c r="AA60" s="184"/>
      <c r="AB60" s="185">
        <f ca="1">Overview!$I$16 + IF(Magic!AD60&gt;0,Constants!$F$77) + ROUND(6*(Construction!BM61+Construction!CK60)/IF(Explore!S61&gt;0,Construction!F61-20,Construction!F61),4) + tech_6_5_2*Techs!BJ60 + tech_8_4*Techs!BT60</f>
        <v>0.7</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44407.124999999862</v>
      </c>
      <c r="C61" s="124">
        <f ca="1">OFFSET(TblPop[[#This Row],[Peasants]],-1,0)+OFFSET(TblPop[[#This Row],[Net Peasant]],-1,0)+TblMili[[#This Row],[Release Draft]]</f>
        <v>7979</v>
      </c>
      <c r="D61" s="124">
        <f ca="1">TblMili[[#This Row],[Military]]</f>
        <v>1400</v>
      </c>
      <c r="E61" s="124">
        <f ca="1">TblMili[[#This Row],[Draftees]]</f>
        <v>1350</v>
      </c>
      <c r="F61" s="124">
        <f ca="1">TblPop[[#This Row],[Peasants]]+TblPop[[#This Row],[Military]]</f>
        <v>9379</v>
      </c>
      <c r="G61" s="180">
        <f ca="1">TblPop[[#This Row],[Military]]/TblPop[[#This Row],[Total]]</f>
        <v>0.14926964495148737</v>
      </c>
      <c r="H61" s="181">
        <f ca="1">MIN(TblPop[[#This Row],[Peasants]],TblPop[[#This Row],[Jobs]])</f>
        <v>7979</v>
      </c>
      <c r="I61" s="180">
        <f ca="1">MIN(OFFSET(TblPop[[#This Row],[Jobs]],1,0)/TblPop[[#This Row],[Peasants]],1)</f>
        <v>1</v>
      </c>
      <c r="J61" s="181">
        <f ca="1">SUM(TblConstr[[#This Row],[Tot Alc]:[Tot GT]],TblConstr[[#This Row],[Tot Shr]:[Tot Doc]],TblConstr[[#This Row],[Dest Alc]:[Dest GT]],TblConstr[[#This Row],[Dest Shr]:[Dest Doc]])*building_employment</f>
        <v>8880</v>
      </c>
      <c r="K61" s="182"/>
      <c r="L61" s="183">
        <f ca="1">TblPop[[#This Row],[Draftees]]</f>
        <v>1350</v>
      </c>
      <c r="M61" s="183">
        <f ca="1">TblMili[[#This Row],[Unit 1]]</f>
        <v>0</v>
      </c>
      <c r="N61" s="183">
        <f ca="1">TblMili[[#This Row],[Unit 2]]</f>
        <v>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9379</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1" s="124">
        <f ca="1">MAX(-5%*TblPop[[#This Row],[Peasants]]-TblPop[[#This Row],[Draft Growth]],MIN(OFFSET(TblPop[[#This Row],[Net max]],1,0)-TblPop[[#This Row],[Peasants]]-TblPop[[#This Row],[Military]]-TblPop[[#This Row],[Draft Growth]],TblPop[[#This Row],[Modded Birth]]-TblPop[[#This Row],[Draft Growth]]))</f>
        <v>-80</v>
      </c>
      <c r="X61" s="124">
        <f ca="1">ROUND(TblPop[[#This Row],[Raw Birth]]*(1+TblPop[[#This Row],[Growth]]),0)</f>
        <v>403</v>
      </c>
      <c r="Y61" s="124">
        <f ca="1">(TblPop[[#This Row],[Peasants]]-TblPop[[#This Row],[Draft Growth]])*raw_pop_growth</f>
        <v>236.97</v>
      </c>
      <c r="Z61" s="124">
        <f ca="1">IF(TblPop[[#This Row],[Military%]]&lt;TblMili[[#This Row],[Draftrate]],ROUND(TblPop[[#This Row],[Peasants]]*Constants!$B$53,0), 0)</f>
        <v>80</v>
      </c>
      <c r="AA61" s="184"/>
      <c r="AB61" s="185">
        <f ca="1">Overview!$I$16 + IF(Magic!AD61&gt;0,Constants!$F$77) + ROUND(6*(Construction!BM62+Construction!CK61)/IF(Explore!S62&gt;0,Construction!F62-20,Construction!F62),4) + tech_6_5_2*Techs!BJ61 + tech_8_4*Techs!BT61</f>
        <v>0.7</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44407.166666666526</v>
      </c>
      <c r="C62" s="124">
        <f ca="1">OFFSET(TblPop[[#This Row],[Peasants]],-1,0)+OFFSET(TblPop[[#This Row],[Net Peasant]],-1,0)+TblMili[[#This Row],[Release Draft]]</f>
        <v>7899</v>
      </c>
      <c r="D62" s="124">
        <f ca="1">TblMili[[#This Row],[Military]]</f>
        <v>1480</v>
      </c>
      <c r="E62" s="124">
        <f ca="1">TblMili[[#This Row],[Draftees]]</f>
        <v>1430</v>
      </c>
      <c r="F62" s="124">
        <f ca="1">TblPop[[#This Row],[Peasants]]+TblPop[[#This Row],[Military]]</f>
        <v>9379</v>
      </c>
      <c r="G62" s="180">
        <f ca="1">TblPop[[#This Row],[Military]]/TblPop[[#This Row],[Total]]</f>
        <v>0.15779933894871523</v>
      </c>
      <c r="H62" s="181">
        <f ca="1">MIN(TblPop[[#This Row],[Peasants]],TblPop[[#This Row],[Jobs]])</f>
        <v>7899</v>
      </c>
      <c r="I62" s="180">
        <f ca="1">MIN(OFFSET(TblPop[[#This Row],[Jobs]],1,0)/TblPop[[#This Row],[Peasants]],1)</f>
        <v>1</v>
      </c>
      <c r="J62" s="181">
        <f ca="1">SUM(TblConstr[[#This Row],[Tot Alc]:[Tot GT]],TblConstr[[#This Row],[Tot Shr]:[Tot Doc]],TblConstr[[#This Row],[Dest Alc]:[Dest GT]],TblConstr[[#This Row],[Dest Shr]:[Dest Doc]])*building_employment</f>
        <v>10800</v>
      </c>
      <c r="K62" s="182"/>
      <c r="L62" s="183">
        <f ca="1">TblPop[[#This Row],[Draftees]]</f>
        <v>1430</v>
      </c>
      <c r="M62" s="183">
        <f ca="1">TblMili[[#This Row],[Unit 1]]</f>
        <v>0</v>
      </c>
      <c r="N62" s="183">
        <f ca="1">TblMili[[#This Row],[Unit 2]]</f>
        <v>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9379</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2" s="124">
        <f ca="1">MAX(-5%*TblPop[[#This Row],[Peasants]]-TblPop[[#This Row],[Draft Growth]],MIN(OFFSET(TblPop[[#This Row],[Net max]],1,0)-TblPop[[#This Row],[Peasants]]-TblPop[[#This Row],[Military]]-TblPop[[#This Row],[Draft Growth]],TblPop[[#This Row],[Modded Birth]]-TblPop[[#This Row],[Draft Growth]]))</f>
        <v>-79</v>
      </c>
      <c r="X62" s="124">
        <f ca="1">ROUND(TblPop[[#This Row],[Raw Birth]]*(1+TblPop[[#This Row],[Growth]]),0)</f>
        <v>399</v>
      </c>
      <c r="Y62" s="124">
        <f ca="1">(TblPop[[#This Row],[Peasants]]-TblPop[[#This Row],[Draft Growth]])*raw_pop_growth</f>
        <v>234.6</v>
      </c>
      <c r="Z62" s="124">
        <f ca="1">IF(TblPop[[#This Row],[Military%]]&lt;TblMili[[#This Row],[Draftrate]],ROUND(TblPop[[#This Row],[Peasants]]*Constants!$B$53,0), 0)</f>
        <v>79</v>
      </c>
      <c r="AA62" s="184"/>
      <c r="AB62" s="185">
        <f ca="1">Overview!$I$16 + IF(Magic!AD62&gt;0,Constants!$F$77) + ROUND(6*(Construction!BM63+Construction!CK62)/IF(Explore!S63&gt;0,Construction!F63-20,Construction!F63),4) + tech_6_5_2*Techs!BJ62 + tech_8_4*Techs!BT62</f>
        <v>0.7</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44407.20833333319</v>
      </c>
      <c r="C63" s="124">
        <f ca="1">OFFSET(TblPop[[#This Row],[Peasants]],-1,0)+OFFSET(TblPop[[#This Row],[Net Peasant]],-1,0)+TblMili[[#This Row],[Release Draft]]</f>
        <v>7820</v>
      </c>
      <c r="D63" s="124">
        <f ca="1">TblMili[[#This Row],[Military]]</f>
        <v>1559</v>
      </c>
      <c r="E63" s="124">
        <f ca="1">TblMili[[#This Row],[Draftees]]</f>
        <v>1509</v>
      </c>
      <c r="F63" s="124">
        <f ca="1">TblPop[[#This Row],[Peasants]]+TblPop[[#This Row],[Military]]</f>
        <v>9379</v>
      </c>
      <c r="G63" s="180">
        <f ca="1">TblPop[[#This Row],[Military]]/TblPop[[#This Row],[Total]]</f>
        <v>0.16622241177097771</v>
      </c>
      <c r="H63" s="181">
        <f ca="1">MIN(TblPop[[#This Row],[Peasants]],TblPop[[#This Row],[Jobs]])</f>
        <v>7820</v>
      </c>
      <c r="I63" s="180">
        <f ca="1">MIN(OFFSET(TblPop[[#This Row],[Jobs]],1,0)/TblPop[[#This Row],[Peasants]],1)</f>
        <v>1</v>
      </c>
      <c r="J63" s="181">
        <f ca="1">SUM(TblConstr[[#This Row],[Tot Alc]:[Tot GT]],TblConstr[[#This Row],[Tot Shr]:[Tot Doc]],TblConstr[[#This Row],[Dest Alc]:[Dest GT]],TblConstr[[#This Row],[Dest Shr]:[Dest Doc]])*building_employment</f>
        <v>10940</v>
      </c>
      <c r="K63" s="182"/>
      <c r="L63" s="183">
        <f ca="1">TblPop[[#This Row],[Draftees]]</f>
        <v>1509</v>
      </c>
      <c r="M63" s="183">
        <f ca="1">TblMili[[#This Row],[Unit 1]]</f>
        <v>0</v>
      </c>
      <c r="N63" s="183">
        <f ca="1">TblMili[[#This Row],[Unit 2]]</f>
        <v>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9379</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3" s="124">
        <f ca="1">MAX(-5%*TblPop[[#This Row],[Peasants]]-TblPop[[#This Row],[Draft Growth]],MIN(OFFSET(TblPop[[#This Row],[Net max]],1,0)-TblPop[[#This Row],[Peasants]]-TblPop[[#This Row],[Military]]-TblPop[[#This Row],[Draft Growth]],TblPop[[#This Row],[Modded Birth]]-TblPop[[#This Row],[Draft Growth]]))</f>
        <v>275</v>
      </c>
      <c r="X63" s="124">
        <f ca="1">ROUND(TblPop[[#This Row],[Raw Birth]]*(1+TblPop[[#This Row],[Growth]]),0)</f>
        <v>395</v>
      </c>
      <c r="Y63" s="124">
        <f ca="1">(TblPop[[#This Row],[Peasants]]-TblPop[[#This Row],[Draft Growth]])*raw_pop_growth</f>
        <v>232.26</v>
      </c>
      <c r="Z63" s="124">
        <f ca="1">IF(TblPop[[#This Row],[Military%]]&lt;TblMili[[#This Row],[Draftrate]],ROUND(TblPop[[#This Row],[Peasants]]*Constants!$B$53,0), 0)</f>
        <v>78</v>
      </c>
      <c r="AA63" s="184"/>
      <c r="AB63" s="185">
        <f ca="1">Overview!$I$16 + IF(Magic!AD63&gt;0,Constants!$F$77) + ROUND(6*(Construction!BM64+Construction!CK63)/IF(Explore!S64&gt;0,Construction!F64-20,Construction!F64),4) + tech_6_5_2*Techs!BJ63 + tech_8_4*Techs!BT63</f>
        <v>0.7</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44407.249999999854</v>
      </c>
      <c r="C64" s="124">
        <f ca="1">OFFSET(TblPop[[#This Row],[Peasants]],-1,0)+OFFSET(TblPop[[#This Row],[Net Peasant]],-1,0)+TblMili[[#This Row],[Release Draft]]</f>
        <v>8095</v>
      </c>
      <c r="D64" s="124">
        <f ca="1">TblMili[[#This Row],[Military]]</f>
        <v>1637</v>
      </c>
      <c r="E64" s="124">
        <f ca="1">TblMili[[#This Row],[Draftees]]</f>
        <v>842</v>
      </c>
      <c r="F64" s="124">
        <f ca="1">TblPop[[#This Row],[Peasants]]+TblPop[[#This Row],[Military]]</f>
        <v>9732</v>
      </c>
      <c r="G64" s="180">
        <f ca="1">TblPop[[#This Row],[Military]]/TblPop[[#This Row],[Total]]</f>
        <v>0.16820797369502671</v>
      </c>
      <c r="H64" s="181">
        <f ca="1">MIN(TblPop[[#This Row],[Peasants]],TblPop[[#This Row],[Jobs]])</f>
        <v>8095</v>
      </c>
      <c r="I64" s="180">
        <f ca="1">MIN(OFFSET(TblPop[[#This Row],[Jobs]],1,0)/TblPop[[#This Row],[Peasants]],1)</f>
        <v>1</v>
      </c>
      <c r="J64" s="181">
        <f ca="1">SUM(TblConstr[[#This Row],[Tot Alc]:[Tot GT]],TblConstr[[#This Row],[Tot Shr]:[Tot Doc]],TblConstr[[#This Row],[Dest Alc]:[Dest GT]],TblConstr[[#This Row],[Dest Shr]:[Dest Doc]])*building_employment</f>
        <v>11040</v>
      </c>
      <c r="K64" s="182"/>
      <c r="L64" s="183">
        <f ca="1">TblPop[[#This Row],[Draftees]]</f>
        <v>842</v>
      </c>
      <c r="M64" s="183">
        <f ca="1">TblMili[[#This Row],[Unit 1]]</f>
        <v>0</v>
      </c>
      <c r="N64" s="183">
        <f ca="1">TblMili[[#This Row],[Unit 2]]</f>
        <v>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9732</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9495</v>
      </c>
      <c r="W64" s="124">
        <f ca="1">MAX(-5%*TblPop[[#This Row],[Peasants]]-TblPop[[#This Row],[Draft Growth]],MIN(OFFSET(TblPop[[#This Row],[Net max]],1,0)-TblPop[[#This Row],[Peasants]]-TblPop[[#This Row],[Military]]-TblPop[[#This Row],[Draft Growth]],TblPop[[#This Row],[Modded Birth]]-TblPop[[#This Row],[Draft Growth]]))</f>
        <v>42</v>
      </c>
      <c r="X64" s="124">
        <f ca="1">ROUND(TblPop[[#This Row],[Raw Birth]]*(1+TblPop[[#This Row],[Growth]]),0)</f>
        <v>409</v>
      </c>
      <c r="Y64" s="124">
        <f ca="1">(TblPop[[#This Row],[Peasants]]-TblPop[[#This Row],[Draft Growth]])*raw_pop_growth</f>
        <v>240.42</v>
      </c>
      <c r="Z64" s="124">
        <f ca="1">IF(TblPop[[#This Row],[Military%]]&lt;TblMili[[#This Row],[Draftrate]],ROUND(TblPop[[#This Row],[Peasants]]*Constants!$B$53,0), 0)</f>
        <v>81</v>
      </c>
      <c r="AA64" s="184"/>
      <c r="AB64" s="185">
        <f ca="1">Overview!$I$16 + IF(Magic!AD64&gt;0,Constants!$F$77) + ROUND(6*(Construction!BM65+Construction!CK64)/IF(Explore!S65&gt;0,Construction!F65-20,Construction!F65),4) + tech_6_5_2*Techs!BJ64 + tech_8_4*Techs!BT64</f>
        <v>0.7</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44407.291666666519</v>
      </c>
      <c r="C65" s="124">
        <f ca="1">OFFSET(TblPop[[#This Row],[Peasants]],-1,0)+OFFSET(TblPop[[#This Row],[Net Peasant]],-1,0)+TblMili[[#This Row],[Release Draft]]</f>
        <v>8137</v>
      </c>
      <c r="D65" s="124">
        <f ca="1">TblMili[[#This Row],[Military]]</f>
        <v>1718</v>
      </c>
      <c r="E65" s="124">
        <f ca="1">TblMili[[#This Row],[Draftees]]</f>
        <v>923</v>
      </c>
      <c r="F65" s="124">
        <f ca="1">TblPop[[#This Row],[Peasants]]+TblPop[[#This Row],[Military]]</f>
        <v>9855</v>
      </c>
      <c r="G65" s="180">
        <f ca="1">TblPop[[#This Row],[Military]]/TblPop[[#This Row],[Total]]</f>
        <v>0.17432775240994419</v>
      </c>
      <c r="H65" s="181">
        <f ca="1">MIN(TblPop[[#This Row],[Peasants]],TblPop[[#This Row],[Jobs]])</f>
        <v>8137</v>
      </c>
      <c r="I65" s="180">
        <f ca="1">MIN(OFFSET(TblPop[[#This Row],[Jobs]],1,0)/TblPop[[#This Row],[Peasants]],1)</f>
        <v>1</v>
      </c>
      <c r="J65" s="181">
        <f ca="1">SUM(TblConstr[[#This Row],[Tot Alc]:[Tot GT]],TblConstr[[#This Row],[Tot Shr]:[Tot Doc]],TblConstr[[#This Row],[Dest Alc]:[Dest GT]],TblConstr[[#This Row],[Dest Shr]:[Dest Doc]])*building_employment</f>
        <v>11040</v>
      </c>
      <c r="K65" s="182"/>
      <c r="L65" s="183">
        <f ca="1">TblPop[[#This Row],[Draftees]]</f>
        <v>923</v>
      </c>
      <c r="M65" s="183">
        <f ca="1">TblMili[[#This Row],[Unit 1]]</f>
        <v>0</v>
      </c>
      <c r="N65" s="183">
        <f ca="1">TblMili[[#This Row],[Unit 2]]</f>
        <v>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9855</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9615</v>
      </c>
      <c r="W65" s="124">
        <f ca="1">MAX(-5%*TblPop[[#This Row],[Peasants]]-TblPop[[#This Row],[Draft Growth]],MIN(OFFSET(TblPop[[#This Row],[Net max]],1,0)-TblPop[[#This Row],[Peasants]]-TblPop[[#This Row],[Military]]-TblPop[[#This Row],[Draft Growth]],TblPop[[#This Row],[Modded Birth]]-TblPop[[#This Row],[Draft Growth]]))</f>
        <v>27</v>
      </c>
      <c r="X65" s="124">
        <f ca="1">ROUND(TblPop[[#This Row],[Raw Birth]]*(1+TblPop[[#This Row],[Growth]]),0)</f>
        <v>290</v>
      </c>
      <c r="Y65" s="124">
        <f ca="1">(TblPop[[#This Row],[Peasants]]-TblPop[[#This Row],[Draft Growth]])*raw_pop_growth</f>
        <v>241.67999999999998</v>
      </c>
      <c r="Z65" s="124">
        <f ca="1">IF(TblPop[[#This Row],[Military%]]&lt;TblMili[[#This Row],[Draftrate]],ROUND(TblPop[[#This Row],[Peasants]]*Constants!$B$53,0), 0)</f>
        <v>81</v>
      </c>
      <c r="AA65" s="184"/>
      <c r="AB65" s="185">
        <f ca="1">Overview!$I$16 + IF(Magic!AD65&gt;0,Constants!$F$77) + ROUND(6*(Construction!BM66+Construction!CK65)/IF(Explore!S66&gt;0,Construction!F66-20,Construction!F66),4) + tech_6_5_2*Techs!BJ65 + tech_8_4*Techs!BT65</f>
        <v>0.2</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44407.333333333183</v>
      </c>
      <c r="C66" s="124">
        <f ca="1">OFFSET(TblPop[[#This Row],[Peasants]],-1,0)+OFFSET(TblPop[[#This Row],[Net Peasant]],-1,0)+TblMili[[#This Row],[Release Draft]]</f>
        <v>8164</v>
      </c>
      <c r="D66" s="124">
        <f ca="1">TblMili[[#This Row],[Military]]</f>
        <v>1799</v>
      </c>
      <c r="E66" s="124">
        <f ca="1">TblMili[[#This Row],[Draftees]]</f>
        <v>1004</v>
      </c>
      <c r="F66" s="124">
        <f ca="1">TblPop[[#This Row],[Peasants]]+TblPop[[#This Row],[Military]]</f>
        <v>9963</v>
      </c>
      <c r="G66" s="180">
        <f ca="1">TblPop[[#This Row],[Military]]/TblPop[[#This Row],[Total]]</f>
        <v>0.18056810197731607</v>
      </c>
      <c r="H66" s="181">
        <f ca="1">MIN(TblPop[[#This Row],[Peasants]],TblPop[[#This Row],[Jobs]])</f>
        <v>8164</v>
      </c>
      <c r="I66" s="180">
        <f ca="1">MIN(OFFSET(TblPop[[#This Row],[Jobs]],1,0)/TblPop[[#This Row],[Peasants]],1)</f>
        <v>1</v>
      </c>
      <c r="J66" s="181">
        <f ca="1">SUM(TblConstr[[#This Row],[Tot Alc]:[Tot GT]],TblConstr[[#This Row],[Tot Shr]:[Tot Doc]],TblConstr[[#This Row],[Dest Alc]:[Dest GT]],TblConstr[[#This Row],[Dest Shr]:[Dest Doc]])*building_employment</f>
        <v>11040</v>
      </c>
      <c r="K66" s="182"/>
      <c r="L66" s="183">
        <f ca="1">TblPop[[#This Row],[Draftees]]</f>
        <v>1004</v>
      </c>
      <c r="M66" s="183">
        <f ca="1">TblMili[[#This Row],[Unit 1]]</f>
        <v>0</v>
      </c>
      <c r="N66" s="183">
        <f ca="1">TblMili[[#This Row],[Unit 2]]</f>
        <v>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9963</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6" s="124">
        <f ca="1">MAX(-5%*TblPop[[#This Row],[Peasants]]-TblPop[[#This Row],[Draft Growth]],MIN(OFFSET(TblPop[[#This Row],[Net max]],1,0)-TblPop[[#This Row],[Peasants]]-TblPop[[#This Row],[Military]]-TblPop[[#This Row],[Draft Growth]],TblPop[[#This Row],[Modded Birth]]-TblPop[[#This Row],[Draft Growth]]))</f>
        <v>-82</v>
      </c>
      <c r="X66" s="124">
        <f ca="1">ROUND(TblPop[[#This Row],[Raw Birth]]*(1+TblPop[[#This Row],[Growth]]),0)</f>
        <v>291</v>
      </c>
      <c r="Y66" s="124">
        <f ca="1">(TblPop[[#This Row],[Peasants]]-TblPop[[#This Row],[Draft Growth]])*raw_pop_growth</f>
        <v>242.45999999999998</v>
      </c>
      <c r="Z66" s="124">
        <f ca="1">IF(TblPop[[#This Row],[Military%]]&lt;TblMili[[#This Row],[Draftrate]],ROUND(TblPop[[#This Row],[Peasants]]*Constants!$B$53,0), 0)</f>
        <v>82</v>
      </c>
      <c r="AA66" s="184"/>
      <c r="AB66" s="185">
        <f ca="1">Overview!$I$16 + IF(Magic!AD66&gt;0,Constants!$F$77) + ROUND(6*(Construction!BM67+Construction!CK66)/IF(Explore!S67&gt;0,Construction!F67-20,Construction!F67),4) + tech_6_5_2*Techs!BJ66 + tech_8_4*Techs!BT66</f>
        <v>0.2</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44407.374999999847</v>
      </c>
      <c r="C67" s="124">
        <f ca="1">OFFSET(TblPop[[#This Row],[Peasants]],-1,0)+OFFSET(TblPop[[#This Row],[Net Peasant]],-1,0)+TblMili[[#This Row],[Release Draft]]</f>
        <v>8082</v>
      </c>
      <c r="D67" s="124">
        <f ca="1">TblMili[[#This Row],[Military]]</f>
        <v>1881</v>
      </c>
      <c r="E67" s="124">
        <f ca="1">TblMili[[#This Row],[Draftees]]</f>
        <v>5</v>
      </c>
      <c r="F67" s="124">
        <f ca="1">TblPop[[#This Row],[Peasants]]+TblPop[[#This Row],[Military]]</f>
        <v>9963</v>
      </c>
      <c r="G67" s="180">
        <f ca="1">TblPop[[#This Row],[Military]]/TblPop[[#This Row],[Total]]</f>
        <v>0.18879855465221318</v>
      </c>
      <c r="H67" s="181">
        <f ca="1">MIN(TblPop[[#This Row],[Peasants]],TblPop[[#This Row],[Jobs]])</f>
        <v>8082</v>
      </c>
      <c r="I67" s="180">
        <f ca="1">MIN(OFFSET(TblPop[[#This Row],[Jobs]],1,0)/TblPop[[#This Row],[Peasants]],1)</f>
        <v>1</v>
      </c>
      <c r="J67" s="181">
        <f ca="1">SUM(TblConstr[[#This Row],[Tot Alc]:[Tot GT]],TblConstr[[#This Row],[Tot Shr]:[Tot Doc]],TblConstr[[#This Row],[Dest Alc]:[Dest GT]],TblConstr[[#This Row],[Dest Shr]:[Dest Doc]])*building_employment</f>
        <v>11040</v>
      </c>
      <c r="K67" s="182"/>
      <c r="L67" s="183">
        <f ca="1">TblPop[[#This Row],[Draftees]]</f>
        <v>5</v>
      </c>
      <c r="M67" s="183">
        <f ca="1">TblMili[[#This Row],[Unit 1]]</f>
        <v>0</v>
      </c>
      <c r="N67" s="183">
        <f ca="1">TblMili[[#This Row],[Unit 2]]</f>
        <v>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9963</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7" s="124">
        <f ca="1">MAX(-5%*TblPop[[#This Row],[Peasants]]-TblPop[[#This Row],[Draft Growth]],MIN(OFFSET(TblPop[[#This Row],[Net max]],1,0)-TblPop[[#This Row],[Peasants]]-TblPop[[#This Row],[Military]]-TblPop[[#This Row],[Draft Growth]],TblPop[[#This Row],[Modded Birth]]-TblPop[[#This Row],[Draft Growth]]))</f>
        <v>-81</v>
      </c>
      <c r="X67" s="124">
        <f ca="1">ROUND(TblPop[[#This Row],[Raw Birth]]*(1+TblPop[[#This Row],[Growth]]),0)</f>
        <v>288</v>
      </c>
      <c r="Y67" s="124">
        <f ca="1">(TblPop[[#This Row],[Peasants]]-TblPop[[#This Row],[Draft Growth]])*raw_pop_growth</f>
        <v>240.03</v>
      </c>
      <c r="Z67" s="124">
        <f ca="1">IF(TblPop[[#This Row],[Military%]]&lt;TblMili[[#This Row],[Draftrate]],ROUND(TblPop[[#This Row],[Peasants]]*Constants!$B$53,0), 0)</f>
        <v>81</v>
      </c>
      <c r="AA67" s="184"/>
      <c r="AB67" s="185">
        <f ca="1">Overview!$I$16 + IF(Magic!AD67&gt;0,Constants!$F$77) + ROUND(6*(Construction!BM68+Construction!CK67)/IF(Explore!S68&gt;0,Construction!F68-20,Construction!F68),4) + tech_6_5_2*Techs!BJ67 + tech_8_4*Techs!BT67</f>
        <v>0.2</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44407.416666666511</v>
      </c>
      <c r="C68" s="124">
        <f ca="1">OFFSET(TblPop[[#This Row],[Peasants]],-1,0)+OFFSET(TblPop[[#This Row],[Net Peasant]],-1,0)+TblMili[[#This Row],[Release Draft]]</f>
        <v>8001</v>
      </c>
      <c r="D68" s="124">
        <f ca="1">TblMili[[#This Row],[Military]]</f>
        <v>1962</v>
      </c>
      <c r="E68" s="124">
        <f ca="1">TblMili[[#This Row],[Draftees]]</f>
        <v>86</v>
      </c>
      <c r="F68" s="124">
        <f ca="1">TblPop[[#This Row],[Peasants]]+TblPop[[#This Row],[Military]]</f>
        <v>9963</v>
      </c>
      <c r="G68" s="180">
        <f ca="1">TblPop[[#This Row],[Military]]/TblPop[[#This Row],[Total]]</f>
        <v>0.1969286359530262</v>
      </c>
      <c r="H68" s="181">
        <f ca="1">MIN(TblPop[[#This Row],[Peasants]],TblPop[[#This Row],[Jobs]])</f>
        <v>8001</v>
      </c>
      <c r="I68" s="180">
        <f ca="1">MIN(OFFSET(TblPop[[#This Row],[Jobs]],1,0)/TblPop[[#This Row],[Peasants]],1)</f>
        <v>1</v>
      </c>
      <c r="J68" s="181">
        <f ca="1">SUM(TblConstr[[#This Row],[Tot Alc]:[Tot GT]],TblConstr[[#This Row],[Tot Shr]:[Tot Doc]],TblConstr[[#This Row],[Dest Alc]:[Dest GT]],TblConstr[[#This Row],[Dest Shr]:[Dest Doc]])*building_employment</f>
        <v>11040</v>
      </c>
      <c r="K68" s="182"/>
      <c r="L68" s="183">
        <f ca="1">TblPop[[#This Row],[Draftees]]</f>
        <v>86</v>
      </c>
      <c r="M68" s="183">
        <f ca="1">TblMili[[#This Row],[Unit 1]]</f>
        <v>0</v>
      </c>
      <c r="N68" s="183">
        <f ca="1">TblMili[[#This Row],[Unit 2]]</f>
        <v>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9963</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8" s="124">
        <f ca="1">MAX(-5%*TblPop[[#This Row],[Peasants]]-TblPop[[#This Row],[Draft Growth]],MIN(OFFSET(TblPop[[#This Row],[Net max]],1,0)-TblPop[[#This Row],[Peasants]]-TblPop[[#This Row],[Military]]-TblPop[[#This Row],[Draft Growth]],TblPop[[#This Row],[Modded Birth]]-TblPop[[#This Row],[Draft Growth]]))</f>
        <v>-80</v>
      </c>
      <c r="X68" s="124">
        <f ca="1">ROUND(TblPop[[#This Row],[Raw Birth]]*(1+TblPop[[#This Row],[Growth]]),0)</f>
        <v>285</v>
      </c>
      <c r="Y68" s="124">
        <f ca="1">(TblPop[[#This Row],[Peasants]]-TblPop[[#This Row],[Draft Growth]])*raw_pop_growth</f>
        <v>237.63</v>
      </c>
      <c r="Z68" s="124">
        <f ca="1">IF(TblPop[[#This Row],[Military%]]&lt;TblMili[[#This Row],[Draftrate]],ROUND(TblPop[[#This Row],[Peasants]]*Constants!$B$53,0), 0)</f>
        <v>80</v>
      </c>
      <c r="AA68" s="184"/>
      <c r="AB68" s="185">
        <f ca="1">Overview!$I$16 + IF(Magic!AD68&gt;0,Constants!$F$77) + ROUND(6*(Construction!BM69+Construction!CK68)/IF(Explore!S69&gt;0,Construction!F69-20,Construction!F69),4) + tech_6_5_2*Techs!BJ68 + tech_8_4*Techs!BT68</f>
        <v>0.2</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44407.458333333176</v>
      </c>
      <c r="C69" s="124">
        <f ca="1">OFFSET(TblPop[[#This Row],[Peasants]],-1,0)+OFFSET(TblPop[[#This Row],[Net Peasant]],-1,0)+TblMili[[#This Row],[Release Draft]]</f>
        <v>7921</v>
      </c>
      <c r="D69" s="124">
        <f ca="1">TblMili[[#This Row],[Military]]</f>
        <v>2042</v>
      </c>
      <c r="E69" s="124">
        <f ca="1">TblMili[[#This Row],[Draftees]]</f>
        <v>166</v>
      </c>
      <c r="F69" s="124">
        <f ca="1">TblPop[[#This Row],[Peasants]]+TblPop[[#This Row],[Military]]</f>
        <v>9963</v>
      </c>
      <c r="G69" s="180">
        <f ca="1">TblPop[[#This Row],[Military]]/TblPop[[#This Row],[Total]]</f>
        <v>0.20495834587975509</v>
      </c>
      <c r="H69" s="181">
        <f ca="1">MIN(TblPop[[#This Row],[Peasants]],TblPop[[#This Row],[Jobs]])</f>
        <v>7921</v>
      </c>
      <c r="I69" s="180">
        <f ca="1">MIN(OFFSET(TblPop[[#This Row],[Jobs]],1,0)/TblPop[[#This Row],[Peasants]],1)</f>
        <v>1</v>
      </c>
      <c r="J69" s="181">
        <f ca="1">SUM(TblConstr[[#This Row],[Tot Alc]:[Tot GT]],TblConstr[[#This Row],[Tot Shr]:[Tot Doc]],TblConstr[[#This Row],[Dest Alc]:[Dest GT]],TblConstr[[#This Row],[Dest Shr]:[Dest Doc]])*building_employment</f>
        <v>11040</v>
      </c>
      <c r="K69" s="182"/>
      <c r="L69" s="183">
        <f ca="1">TblPop[[#This Row],[Draftees]]</f>
        <v>166</v>
      </c>
      <c r="M69" s="183">
        <f ca="1">TblMili[[#This Row],[Unit 1]]</f>
        <v>0</v>
      </c>
      <c r="N69" s="183">
        <f ca="1">TblMili[[#This Row],[Unit 2]]</f>
        <v>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9963</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9" s="124">
        <f ca="1">MAX(-5%*TblPop[[#This Row],[Peasants]]-TblPop[[#This Row],[Draft Growth]],MIN(OFFSET(TblPop[[#This Row],[Net max]],1,0)-TblPop[[#This Row],[Peasants]]-TblPop[[#This Row],[Military]]-TblPop[[#This Row],[Draft Growth]],TblPop[[#This Row],[Modded Birth]]-TblPop[[#This Row],[Draft Growth]]))</f>
        <v>-79</v>
      </c>
      <c r="X69" s="124">
        <f ca="1">ROUND(TblPop[[#This Row],[Raw Birth]]*(1+TblPop[[#This Row],[Growth]]),0)</f>
        <v>282</v>
      </c>
      <c r="Y69" s="124">
        <f ca="1">(TblPop[[#This Row],[Peasants]]-TblPop[[#This Row],[Draft Growth]])*raw_pop_growth</f>
        <v>235.26</v>
      </c>
      <c r="Z69" s="124">
        <f ca="1">IF(TblPop[[#This Row],[Military%]]&lt;TblMili[[#This Row],[Draftrate]],ROUND(TblPop[[#This Row],[Peasants]]*Constants!$B$53,0), 0)</f>
        <v>79</v>
      </c>
      <c r="AA69" s="184"/>
      <c r="AB69" s="185">
        <f ca="1">Overview!$I$16 + IF(Magic!AD69&gt;0,Constants!$F$77) + ROUND(6*(Construction!BM70+Construction!CK69)/IF(Explore!S70&gt;0,Construction!F70-20,Construction!F70),4) + tech_6_5_2*Techs!BJ69 + tech_8_4*Techs!BT69</f>
        <v>0.2</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44407.49999999984</v>
      </c>
      <c r="C70" s="124">
        <f ca="1">OFFSET(TblPop[[#This Row],[Peasants]],-1,0)+OFFSET(TblPop[[#This Row],[Net Peasant]],-1,0)+TblMili[[#This Row],[Release Draft]]</f>
        <v>7842</v>
      </c>
      <c r="D70" s="124">
        <f ca="1">TblMili[[#This Row],[Military]]</f>
        <v>2121</v>
      </c>
      <c r="E70" s="124">
        <f ca="1">TblMili[[#This Row],[Draftees]]</f>
        <v>245</v>
      </c>
      <c r="F70" s="124">
        <f ca="1">TblPop[[#This Row],[Peasants]]+TblPop[[#This Row],[Military]]</f>
        <v>9963</v>
      </c>
      <c r="G70" s="180">
        <f ca="1">TblPop[[#This Row],[Military]]/TblPop[[#This Row],[Total]]</f>
        <v>0.21288768443239989</v>
      </c>
      <c r="H70" s="181">
        <f ca="1">MIN(TblPop[[#This Row],[Peasants]],TblPop[[#This Row],[Jobs]])</f>
        <v>7842</v>
      </c>
      <c r="I70" s="180">
        <f ca="1">MIN(OFFSET(TblPop[[#This Row],[Jobs]],1,0)/TblPop[[#This Row],[Peasants]],1)</f>
        <v>1</v>
      </c>
      <c r="J70" s="181">
        <f ca="1">SUM(TblConstr[[#This Row],[Tot Alc]:[Tot GT]],TblConstr[[#This Row],[Tot Shr]:[Tot Doc]],TblConstr[[#This Row],[Dest Alc]:[Dest GT]],TblConstr[[#This Row],[Dest Shr]:[Dest Doc]])*building_employment</f>
        <v>11040</v>
      </c>
      <c r="K70" s="182"/>
      <c r="L70" s="183">
        <f ca="1">TblPop[[#This Row],[Draftees]]</f>
        <v>245</v>
      </c>
      <c r="M70" s="183">
        <f ca="1">TblMili[[#This Row],[Unit 1]]</f>
        <v>0</v>
      </c>
      <c r="N70" s="183">
        <f ca="1">TblMili[[#This Row],[Unit 2]]</f>
        <v>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9963</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0" s="124">
        <f ca="1">MAX(-5%*TblPop[[#This Row],[Peasants]]-TblPop[[#This Row],[Draft Growth]],MIN(OFFSET(TblPop[[#This Row],[Net max]],1,0)-TblPop[[#This Row],[Peasants]]-TblPop[[#This Row],[Military]]-TblPop[[#This Row],[Draft Growth]],TblPop[[#This Row],[Modded Birth]]-TblPop[[#This Row],[Draft Growth]]))</f>
        <v>-78</v>
      </c>
      <c r="X70" s="124">
        <f ca="1">ROUND(TblPop[[#This Row],[Raw Birth]]*(1+TblPop[[#This Row],[Growth]]),0)</f>
        <v>280</v>
      </c>
      <c r="Y70" s="124">
        <f ca="1">(TblPop[[#This Row],[Peasants]]-TblPop[[#This Row],[Draft Growth]])*raw_pop_growth</f>
        <v>232.92</v>
      </c>
      <c r="Z70" s="124">
        <f ca="1">IF(TblPop[[#This Row],[Military%]]&lt;TblMili[[#This Row],[Draftrate]],ROUND(TblPop[[#This Row],[Peasants]]*Constants!$B$53,0), 0)</f>
        <v>78</v>
      </c>
      <c r="AA70" s="184"/>
      <c r="AB70" s="185">
        <f ca="1">Overview!$I$16 + IF(Magic!AD70&gt;0,Constants!$F$77) + ROUND(6*(Construction!BM71+Construction!CK70)/IF(Explore!S71&gt;0,Construction!F71-20,Construction!F71),4) + tech_6_5_2*Techs!BJ70 + tech_8_4*Techs!BT70</f>
        <v>0.2</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44407.541666666504</v>
      </c>
      <c r="C71" s="124">
        <f ca="1">OFFSET(TblPop[[#This Row],[Peasants]],-1,0)+OFFSET(TblPop[[#This Row],[Net Peasant]],-1,0)+TblMili[[#This Row],[Release Draft]]</f>
        <v>7764</v>
      </c>
      <c r="D71" s="124">
        <f ca="1">TblMili[[#This Row],[Military]]</f>
        <v>2199</v>
      </c>
      <c r="E71" s="124">
        <f ca="1">TblMili[[#This Row],[Draftees]]</f>
        <v>323</v>
      </c>
      <c r="F71" s="124">
        <f ca="1">TblPop[[#This Row],[Peasants]]+TblPop[[#This Row],[Military]]</f>
        <v>9963</v>
      </c>
      <c r="G71" s="180">
        <f ca="1">TblPop[[#This Row],[Military]]/TblPop[[#This Row],[Total]]</f>
        <v>0.22071665161096055</v>
      </c>
      <c r="H71" s="181">
        <f ca="1">MIN(TblPop[[#This Row],[Peasants]],TblPop[[#This Row],[Jobs]])</f>
        <v>7764</v>
      </c>
      <c r="I71" s="180">
        <f ca="1">MIN(OFFSET(TblPop[[#This Row],[Jobs]],1,0)/TblPop[[#This Row],[Peasants]],1)</f>
        <v>1</v>
      </c>
      <c r="J71" s="181">
        <f ca="1">SUM(TblConstr[[#This Row],[Tot Alc]:[Tot GT]],TblConstr[[#This Row],[Tot Shr]:[Tot Doc]],TblConstr[[#This Row],[Dest Alc]:[Dest GT]],TblConstr[[#This Row],[Dest Shr]:[Dest Doc]])*building_employment</f>
        <v>11040</v>
      </c>
      <c r="K71" s="182"/>
      <c r="L71" s="183">
        <f ca="1">TblPop[[#This Row],[Draftees]]</f>
        <v>323</v>
      </c>
      <c r="M71" s="183">
        <f ca="1">TblMili[[#This Row],[Unit 1]]</f>
        <v>0</v>
      </c>
      <c r="N71" s="183">
        <f ca="1">TblMili[[#This Row],[Unit 2]]</f>
        <v>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9963</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1" s="124">
        <f ca="1">MAX(-5%*TblPop[[#This Row],[Peasants]]-TblPop[[#This Row],[Draft Growth]],MIN(OFFSET(TblPop[[#This Row],[Net max]],1,0)-TblPop[[#This Row],[Peasants]]-TblPop[[#This Row],[Military]]-TblPop[[#This Row],[Draft Growth]],TblPop[[#This Row],[Modded Birth]]-TblPop[[#This Row],[Draft Growth]]))</f>
        <v>-78</v>
      </c>
      <c r="X71" s="124">
        <f ca="1">ROUND(TblPop[[#This Row],[Raw Birth]]*(1+TblPop[[#This Row],[Growth]]),0)</f>
        <v>277</v>
      </c>
      <c r="Y71" s="124">
        <f ca="1">(TblPop[[#This Row],[Peasants]]-TblPop[[#This Row],[Draft Growth]])*raw_pop_growth</f>
        <v>230.57999999999998</v>
      </c>
      <c r="Z71" s="124">
        <f ca="1">IF(TblPop[[#This Row],[Military%]]&lt;TblMili[[#This Row],[Draftrate]],ROUND(TblPop[[#This Row],[Peasants]]*Constants!$B$53,0), 0)</f>
        <v>78</v>
      </c>
      <c r="AA71" s="184"/>
      <c r="AB71" s="185">
        <f ca="1">Overview!$I$16 + IF(Magic!AD71&gt;0,Constants!$F$77) + ROUND(6*(Construction!BM72+Construction!CK71)/IF(Explore!S72&gt;0,Construction!F72-20,Construction!F72),4) + tech_6_5_2*Techs!BJ71 + tech_8_4*Techs!BT71</f>
        <v>0.2</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44407.583333333168</v>
      </c>
      <c r="C72" s="124">
        <f ca="1">OFFSET(TblPop[[#This Row],[Peasants]],-1,0)+OFFSET(TblPop[[#This Row],[Net Peasant]],-1,0)+TblMili[[#This Row],[Release Draft]]</f>
        <v>7686</v>
      </c>
      <c r="D72" s="124">
        <f ca="1">TblMili[[#This Row],[Military]]</f>
        <v>2277</v>
      </c>
      <c r="E72" s="124">
        <f ca="1">TblMili[[#This Row],[Draftees]]</f>
        <v>401</v>
      </c>
      <c r="F72" s="124">
        <f ca="1">TblPop[[#This Row],[Peasants]]+TblPop[[#This Row],[Military]]</f>
        <v>9963</v>
      </c>
      <c r="G72" s="180">
        <f ca="1">TblPop[[#This Row],[Military]]/TblPop[[#This Row],[Total]]</f>
        <v>0.22854561878952123</v>
      </c>
      <c r="H72" s="181">
        <f ca="1">MIN(TblPop[[#This Row],[Peasants]],TblPop[[#This Row],[Jobs]])</f>
        <v>7686</v>
      </c>
      <c r="I72" s="180">
        <f ca="1">MIN(OFFSET(TblPop[[#This Row],[Jobs]],1,0)/TblPop[[#This Row],[Peasants]],1)</f>
        <v>1</v>
      </c>
      <c r="J72" s="181">
        <f ca="1">SUM(TblConstr[[#This Row],[Tot Alc]:[Tot GT]],TblConstr[[#This Row],[Tot Shr]:[Tot Doc]],TblConstr[[#This Row],[Dest Alc]:[Dest GT]],TblConstr[[#This Row],[Dest Shr]:[Dest Doc]])*building_employment</f>
        <v>11040</v>
      </c>
      <c r="K72" s="182"/>
      <c r="L72" s="183">
        <f ca="1">TblPop[[#This Row],[Draftees]]</f>
        <v>401</v>
      </c>
      <c r="M72" s="183">
        <f ca="1">TblMili[[#This Row],[Unit 1]]</f>
        <v>0</v>
      </c>
      <c r="N72" s="183">
        <f ca="1">TblMili[[#This Row],[Unit 2]]</f>
        <v>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9963</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2" s="124">
        <f ca="1">MAX(-5%*TblPop[[#This Row],[Peasants]]-TblPop[[#This Row],[Draft Growth]],MIN(OFFSET(TblPop[[#This Row],[Net max]],1,0)-TblPop[[#This Row],[Peasants]]-TblPop[[#This Row],[Military]]-TblPop[[#This Row],[Draft Growth]],TblPop[[#This Row],[Modded Birth]]-TblPop[[#This Row],[Draft Growth]]))</f>
        <v>-77</v>
      </c>
      <c r="X72" s="124">
        <f ca="1">ROUND(TblPop[[#This Row],[Raw Birth]]*(1+TblPop[[#This Row],[Growth]]),0)</f>
        <v>274</v>
      </c>
      <c r="Y72" s="124">
        <f ca="1">(TblPop[[#This Row],[Peasants]]-TblPop[[#This Row],[Draft Growth]])*raw_pop_growth</f>
        <v>228.26999999999998</v>
      </c>
      <c r="Z72" s="124">
        <f ca="1">IF(TblPop[[#This Row],[Military%]]&lt;TblMili[[#This Row],[Draftrate]],ROUND(TblPop[[#This Row],[Peasants]]*Constants!$B$53,0), 0)</f>
        <v>77</v>
      </c>
      <c r="AA72" s="184"/>
      <c r="AB72" s="185">
        <f ca="1">Overview!$I$16 + IF(Magic!AD72&gt;0,Constants!$F$77) + ROUND(6*(Construction!BM73+Construction!CK72)/IF(Explore!S73&gt;0,Construction!F73-20,Construction!F73),4) + tech_6_5_2*Techs!BJ72 + tech_8_4*Techs!BT72</f>
        <v>0.2</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44407.624999999833</v>
      </c>
      <c r="C73" s="124">
        <f ca="1">OFFSET(TblPop[[#This Row],[Peasants]],-1,0)+OFFSET(TblPop[[#This Row],[Net Peasant]],-1,0)+TblMili[[#This Row],[Release Draft]]</f>
        <v>7609</v>
      </c>
      <c r="D73" s="124">
        <f ca="1">TblMili[[#This Row],[Military]]</f>
        <v>2354</v>
      </c>
      <c r="E73" s="124">
        <f ca="1">TblMili[[#This Row],[Draftees]]</f>
        <v>478</v>
      </c>
      <c r="F73" s="124">
        <f ca="1">TblPop[[#This Row],[Peasants]]+TblPop[[#This Row],[Military]]</f>
        <v>9963</v>
      </c>
      <c r="G73" s="180">
        <f ca="1">TblPop[[#This Row],[Military]]/TblPop[[#This Row],[Total]]</f>
        <v>0.23627421459399781</v>
      </c>
      <c r="H73" s="181">
        <f ca="1">MIN(TblPop[[#This Row],[Peasants]],TblPop[[#This Row],[Jobs]])</f>
        <v>7609</v>
      </c>
      <c r="I73" s="180">
        <f ca="1">MIN(OFFSET(TblPop[[#This Row],[Jobs]],1,0)/TblPop[[#This Row],[Peasants]],1)</f>
        <v>1</v>
      </c>
      <c r="J73" s="181">
        <f ca="1">SUM(TblConstr[[#This Row],[Tot Alc]:[Tot GT]],TblConstr[[#This Row],[Tot Shr]:[Tot Doc]],TblConstr[[#This Row],[Dest Alc]:[Dest GT]],TblConstr[[#This Row],[Dest Shr]:[Dest Doc]])*building_employment</f>
        <v>11040</v>
      </c>
      <c r="K73" s="182"/>
      <c r="L73" s="183">
        <f ca="1">TblPop[[#This Row],[Draftees]]</f>
        <v>478</v>
      </c>
      <c r="M73" s="183">
        <f ca="1">TblMili[[#This Row],[Unit 1]]</f>
        <v>0</v>
      </c>
      <c r="N73" s="183">
        <f ca="1">TblMili[[#This Row],[Unit 2]]</f>
        <v>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9963</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3" s="124">
        <f ca="1">MAX(-5%*TblPop[[#This Row],[Peasants]]-TblPop[[#This Row],[Draft Growth]],MIN(OFFSET(TblPop[[#This Row],[Net max]],1,0)-TblPop[[#This Row],[Peasants]]-TblPop[[#This Row],[Military]]-TblPop[[#This Row],[Draft Growth]],TblPop[[#This Row],[Modded Birth]]-TblPop[[#This Row],[Draft Growth]]))</f>
        <v>-76</v>
      </c>
      <c r="X73" s="124">
        <f ca="1">ROUND(TblPop[[#This Row],[Raw Birth]]*(1+TblPop[[#This Row],[Growth]]),0)</f>
        <v>271</v>
      </c>
      <c r="Y73" s="124">
        <f ca="1">(TblPop[[#This Row],[Peasants]]-TblPop[[#This Row],[Draft Growth]])*raw_pop_growth</f>
        <v>225.98999999999998</v>
      </c>
      <c r="Z73" s="124">
        <f ca="1">IF(TblPop[[#This Row],[Military%]]&lt;TblMili[[#This Row],[Draftrate]],ROUND(TblPop[[#This Row],[Peasants]]*Constants!$B$53,0), 0)</f>
        <v>76</v>
      </c>
      <c r="AA73" s="184"/>
      <c r="AB73" s="185">
        <f ca="1">Overview!$I$16 + IF(Magic!AD73&gt;0,Constants!$F$77) + ROUND(6*(Construction!BM74+Construction!CK73)/IF(Explore!S74&gt;0,Construction!F74-20,Construction!F74),4) + tech_6_5_2*Techs!BJ73 + tech_8_4*Techs!BT73</f>
        <v>0.2</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44407.666666666497</v>
      </c>
      <c r="C74" s="124">
        <f ca="1">OFFSET(TblPop[[#This Row],[Peasants]],-1,0)+OFFSET(TblPop[[#This Row],[Net Peasant]],-1,0)+TblMili[[#This Row],[Release Draft]]</f>
        <v>7533</v>
      </c>
      <c r="D74" s="124">
        <f ca="1">TblMili[[#This Row],[Military]]</f>
        <v>2430</v>
      </c>
      <c r="E74" s="124">
        <f ca="1">TblMili[[#This Row],[Draftees]]</f>
        <v>554</v>
      </c>
      <c r="F74" s="124">
        <f ca="1">TblPop[[#This Row],[Peasants]]+TblPop[[#This Row],[Military]]</f>
        <v>9963</v>
      </c>
      <c r="G74" s="180">
        <f ca="1">TblPop[[#This Row],[Military]]/TblPop[[#This Row],[Total]]</f>
        <v>0.24390243902439024</v>
      </c>
      <c r="H74" s="181">
        <f ca="1">MIN(TblPop[[#This Row],[Peasants]],TblPop[[#This Row],[Jobs]])</f>
        <v>7533</v>
      </c>
      <c r="I74" s="180">
        <f ca="1">MIN(OFFSET(TblPop[[#This Row],[Jobs]],1,0)/TblPop[[#This Row],[Peasants]],1)</f>
        <v>1</v>
      </c>
      <c r="J74" s="181">
        <f ca="1">SUM(TblConstr[[#This Row],[Tot Alc]:[Tot GT]],TblConstr[[#This Row],[Tot Shr]:[Tot Doc]],TblConstr[[#This Row],[Dest Alc]:[Dest GT]],TblConstr[[#This Row],[Dest Shr]:[Dest Doc]])*building_employment</f>
        <v>11040</v>
      </c>
      <c r="K74" s="182"/>
      <c r="L74" s="183">
        <f ca="1">TblPop[[#This Row],[Draftees]]</f>
        <v>554</v>
      </c>
      <c r="M74" s="183">
        <f ca="1">TblMili[[#This Row],[Unit 1]]</f>
        <v>0</v>
      </c>
      <c r="N74" s="183">
        <f ca="1">TblMili[[#This Row],[Unit 2]]</f>
        <v>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9963</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4" s="124">
        <f ca="1">MAX(-5%*TblPop[[#This Row],[Peasants]]-TblPop[[#This Row],[Draft Growth]],MIN(OFFSET(TblPop[[#This Row],[Net max]],1,0)-TblPop[[#This Row],[Peasants]]-TblPop[[#This Row],[Military]]-TblPop[[#This Row],[Draft Growth]],TblPop[[#This Row],[Modded Birth]]-TblPop[[#This Row],[Draft Growth]]))</f>
        <v>-75</v>
      </c>
      <c r="X74" s="124">
        <f ca="1">ROUND(TblPop[[#This Row],[Raw Birth]]*(1+TblPop[[#This Row],[Growth]]),0)</f>
        <v>268</v>
      </c>
      <c r="Y74" s="124">
        <f ca="1">(TblPop[[#This Row],[Peasants]]-TblPop[[#This Row],[Draft Growth]])*raw_pop_growth</f>
        <v>223.73999999999998</v>
      </c>
      <c r="Z74" s="124">
        <f ca="1">IF(TblPop[[#This Row],[Military%]]&lt;TblMili[[#This Row],[Draftrate]],ROUND(TblPop[[#This Row],[Peasants]]*Constants!$B$53,0), 0)</f>
        <v>75</v>
      </c>
      <c r="AA74" s="184"/>
      <c r="AB74" s="185">
        <f ca="1">Overview!$I$16 + IF(Magic!AD74&gt;0,Constants!$F$77) + ROUND(6*(Construction!BM75+Construction!CK74)/IF(Explore!S75&gt;0,Construction!F75-20,Construction!F75),4) + tech_6_5_2*Techs!BJ74 + tech_8_4*Techs!BT74</f>
        <v>0.2</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44407.708333333161</v>
      </c>
      <c r="C75" s="124">
        <f ca="1">OFFSET(TblPop[[#This Row],[Peasants]],-1,0)+OFFSET(TblPop[[#This Row],[Net Peasant]],-1,0)+TblMili[[#This Row],[Release Draft]]</f>
        <v>7458</v>
      </c>
      <c r="D75" s="124">
        <f ca="1">TblMili[[#This Row],[Military]]</f>
        <v>2505</v>
      </c>
      <c r="E75" s="124">
        <f ca="1">TblMili[[#This Row],[Draftees]]</f>
        <v>629</v>
      </c>
      <c r="F75" s="124">
        <f ca="1">TblPop[[#This Row],[Peasants]]+TblPop[[#This Row],[Military]]</f>
        <v>9963</v>
      </c>
      <c r="G75" s="180">
        <f ca="1">TblPop[[#This Row],[Military]]/TblPop[[#This Row],[Total]]</f>
        <v>0.25143029208069856</v>
      </c>
      <c r="H75" s="181">
        <f ca="1">MIN(TblPop[[#This Row],[Peasants]],TblPop[[#This Row],[Jobs]])</f>
        <v>7458</v>
      </c>
      <c r="I75" s="180">
        <f ca="1">MIN(OFFSET(TblPop[[#This Row],[Jobs]],1,0)/TblPop[[#This Row],[Peasants]],1)</f>
        <v>1</v>
      </c>
      <c r="J75" s="181">
        <f ca="1">SUM(TblConstr[[#This Row],[Tot Alc]:[Tot GT]],TblConstr[[#This Row],[Tot Shr]:[Tot Doc]],TblConstr[[#This Row],[Dest Alc]:[Dest GT]],TblConstr[[#This Row],[Dest Shr]:[Dest Doc]])*building_employment</f>
        <v>11040</v>
      </c>
      <c r="K75" s="182"/>
      <c r="L75" s="183">
        <f ca="1">TblPop[[#This Row],[Draftees]]</f>
        <v>629</v>
      </c>
      <c r="M75" s="183">
        <f ca="1">TblMili[[#This Row],[Unit 1]]</f>
        <v>0</v>
      </c>
      <c r="N75" s="183">
        <f ca="1">TblMili[[#This Row],[Unit 2]]</f>
        <v>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9963</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5" s="124">
        <f ca="1">MAX(-5%*TblPop[[#This Row],[Peasants]]-TblPop[[#This Row],[Draft Growth]],MIN(OFFSET(TblPop[[#This Row],[Net max]],1,0)-TblPop[[#This Row],[Peasants]]-TblPop[[#This Row],[Military]]-TblPop[[#This Row],[Draft Growth]],TblPop[[#This Row],[Modded Birth]]-TblPop[[#This Row],[Draft Growth]]))</f>
        <v>-75</v>
      </c>
      <c r="X75" s="124">
        <f ca="1">ROUND(TblPop[[#This Row],[Raw Birth]]*(1+TblPop[[#This Row],[Growth]]),0)</f>
        <v>266</v>
      </c>
      <c r="Y75" s="124">
        <f ca="1">(TblPop[[#This Row],[Peasants]]-TblPop[[#This Row],[Draft Growth]])*raw_pop_growth</f>
        <v>221.48999999999998</v>
      </c>
      <c r="Z75" s="124">
        <f ca="1">IF(TblPop[[#This Row],[Military%]]&lt;TblMili[[#This Row],[Draftrate]],ROUND(TblPop[[#This Row],[Peasants]]*Constants!$B$53,0), 0)</f>
        <v>75</v>
      </c>
      <c r="AA75" s="184"/>
      <c r="AB75" s="185">
        <f ca="1">Overview!$I$16 + IF(Magic!AD75&gt;0,Constants!$F$77) + ROUND(6*(Construction!BM76+Construction!CK75)/IF(Explore!S76&gt;0,Construction!F76-20,Construction!F76),4) + tech_6_5_2*Techs!BJ75 + tech_8_4*Techs!BT75</f>
        <v>0.2</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44407.749999999825</v>
      </c>
      <c r="C76" s="188">
        <f ca="1">OFFSET(TblPop[[#This Row],[Peasants]],-1,0)+OFFSET(TblPop[[#This Row],[Net Peasant]],-1,0)+TblMili[[#This Row],[Release Draft]]</f>
        <v>7383</v>
      </c>
      <c r="D76" s="188">
        <f ca="1">TblMili[[#This Row],[Military]]</f>
        <v>2580</v>
      </c>
      <c r="E76" s="188">
        <f ca="1">TblMili[[#This Row],[Draftees]]</f>
        <v>704</v>
      </c>
      <c r="F76" s="188">
        <f ca="1">TblPop[[#This Row],[Peasants]]+TblPop[[#This Row],[Military]]</f>
        <v>9963</v>
      </c>
      <c r="G76" s="189">
        <f ca="1">TblPop[[#This Row],[Military]]/TblPop[[#This Row],[Total]]</f>
        <v>0.25895814513700693</v>
      </c>
      <c r="H76" s="190">
        <f ca="1">MIN(TblPop[[#This Row],[Peasants]],TblPop[[#This Row],[Jobs]])</f>
        <v>7383</v>
      </c>
      <c r="I76" s="189">
        <f ca="1">MIN(OFFSET(TblPop[[#This Row],[Jobs]],1,0)/TblPop[[#This Row],[Peasants]],1)</f>
        <v>1</v>
      </c>
      <c r="J76" s="181">
        <f ca="1">SUM(TblConstr[[#This Row],[Tot Alc]:[Tot GT]],TblConstr[[#This Row],[Tot Shr]:[Tot Doc]],TblConstr[[#This Row],[Dest Alc]:[Dest GT]],TblConstr[[#This Row],[Dest Shr]:[Dest Doc]])*building_employment</f>
        <v>11040</v>
      </c>
      <c r="K76" s="182"/>
      <c r="L76" s="191">
        <f ca="1">TblPop[[#This Row],[Draftees]]</f>
        <v>704</v>
      </c>
      <c r="M76" s="191">
        <f ca="1">TblMili[[#This Row],[Unit 1]]</f>
        <v>0</v>
      </c>
      <c r="N76" s="191">
        <f ca="1">TblMili[[#This Row],[Unit 2]]</f>
        <v>1081</v>
      </c>
      <c r="O76" s="191">
        <f ca="1">TblMili[[#This Row],[Unit 3]]</f>
        <v>125</v>
      </c>
      <c r="P76" s="191">
        <f ca="1">TblMili[[#This Row],[Unit 4]]</f>
        <v>600</v>
      </c>
      <c r="Q76" s="191">
        <f ca="1">TblMili[[#This Row],[Spies]]</f>
        <v>35</v>
      </c>
      <c r="R76" s="191">
        <f ca="1">TblMili[[#This Row],[Wizards]]</f>
        <v>35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9963</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6" s="188">
        <f ca="1">MAX(-5%*TblPop[[#This Row],[Peasants]]-TblPop[[#This Row],[Draft Growth]],MIN(OFFSET(TblPop[[#This Row],[Net max]],1,0)-TblPop[[#This Row],[Peasants]]-TblPop[[#This Row],[Military]]-TblPop[[#This Row],[Draft Growth]],TblPop[[#This Row],[Modded Birth]]-TblPop[[#This Row],[Draft Growth]]))</f>
        <v>-74</v>
      </c>
      <c r="X76" s="188">
        <f ca="1">ROUND(TblPop[[#This Row],[Raw Birth]]*(1+TblPop[[#This Row],[Growth]]),0)</f>
        <v>263</v>
      </c>
      <c r="Y76" s="188">
        <f ca="1">(TblPop[[#This Row],[Peasants]]-TblPop[[#This Row],[Draft Growth]])*raw_pop_growth</f>
        <v>219.26999999999998</v>
      </c>
      <c r="Z76" s="188">
        <f ca="1">IF(TblPop[[#This Row],[Military%]]&lt;TblMili[[#This Row],[Draftrate]],ROUND(TblPop[[#This Row],[Peasants]]*Constants!$B$53,0), 0)</f>
        <v>74</v>
      </c>
      <c r="AA76" s="192"/>
      <c r="AB76" s="193">
        <f ca="1">Overview!$I$16 + IF(Magic!AD76&gt;0,Constants!$F$77) + ROUND(6*(Construction!BM77+Construction!CK76)/IF(Explore!S77&gt;0,Construction!F77-20,Construction!F77),4) + tech_6_5_2*Techs!BJ76 + tech_8_4*Techs!BT76</f>
        <v>0.2</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44407.79166666649</v>
      </c>
      <c r="C77" s="124">
        <f ca="1">OFFSET(TblPop[[#This Row],[Peasants]],-1,0)+OFFSET(TblPop[[#This Row],[Net Peasant]],-1,0)+TblMili[[#This Row],[Release Draft]]</f>
        <v>7309</v>
      </c>
      <c r="D77" s="124">
        <f ca="1">TblMili[[#This Row],[Military]]</f>
        <v>2654</v>
      </c>
      <c r="E77" s="124">
        <f ca="1">TblMili[[#This Row],[Draftees]]</f>
        <v>778</v>
      </c>
      <c r="F77" s="124">
        <f ca="1">TblPop[[#This Row],[Peasants]]+TblPop[[#This Row],[Military]]</f>
        <v>9963</v>
      </c>
      <c r="G77" s="180">
        <f ca="1">TblPop[[#This Row],[Military]]/TblPop[[#This Row],[Total]]</f>
        <v>0.26638562681923117</v>
      </c>
      <c r="H77" s="181">
        <f ca="1">MIN(TblPop[[#This Row],[Peasants]],TblPop[[#This Row],[Jobs]])</f>
        <v>7309</v>
      </c>
      <c r="I77" s="180">
        <f ca="1">MIN(OFFSET(TblPop[[#This Row],[Jobs]],1,0)/TblPop[[#This Row],[Peasants]],1)</f>
        <v>1</v>
      </c>
      <c r="J77" s="181">
        <f ca="1">SUM(TblConstr[[#This Row],[Tot Alc]:[Tot GT]],TblConstr[[#This Row],[Tot Shr]:[Tot Doc]],TblConstr[[#This Row],[Dest Alc]:[Dest GT]],TblConstr[[#This Row],[Dest Shr]:[Dest Doc]])*building_employment</f>
        <v>11040</v>
      </c>
      <c r="K77" s="182"/>
      <c r="L77" s="183">
        <f ca="1">TblPop[[#This Row],[Draftees]]</f>
        <v>778</v>
      </c>
      <c r="M77" s="183">
        <f ca="1">TblMili[[#This Row],[Unit 1]]</f>
        <v>0</v>
      </c>
      <c r="N77" s="183">
        <f ca="1">TblMili[[#This Row],[Unit 2]]</f>
        <v>1081</v>
      </c>
      <c r="O77" s="183">
        <f ca="1">TblMili[[#This Row],[Unit 3]]</f>
        <v>125</v>
      </c>
      <c r="P77" s="183">
        <f ca="1">TblMili[[#This Row],[Unit 4]]</f>
        <v>600</v>
      </c>
      <c r="Q77" s="183">
        <f ca="1">TblMili[[#This Row],[Spies]]</f>
        <v>35</v>
      </c>
      <c r="R77" s="183">
        <f ca="1">TblMili[[#This Row],[Wizards]]</f>
        <v>35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9963</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7" s="124">
        <f ca="1">MAX(-5%*TblPop[[#This Row],[Peasants]]-TblPop[[#This Row],[Draft Growth]],MIN(OFFSET(TblPop[[#This Row],[Net max]],1,0)-TblPop[[#This Row],[Peasants]]-TblPop[[#This Row],[Military]]-TblPop[[#This Row],[Draft Growth]],TblPop[[#This Row],[Modded Birth]]-TblPop[[#This Row],[Draft Growth]]))</f>
        <v>-73</v>
      </c>
      <c r="X77" s="124">
        <f ca="1">ROUND(TblPop[[#This Row],[Raw Birth]]*(1+TblPop[[#This Row],[Growth]]),0)</f>
        <v>260</v>
      </c>
      <c r="Y77" s="124">
        <f ca="1">(TblPop[[#This Row],[Peasants]]-TblPop[[#This Row],[Draft Growth]])*raw_pop_growth</f>
        <v>217.07999999999998</v>
      </c>
      <c r="Z77" s="124">
        <f ca="1">IF(TblPop[[#This Row],[Military%]]&lt;TblMili[[#This Row],[Draftrate]],ROUND(TblPop[[#This Row],[Peasants]]*Constants!$B$53,0), 0)</f>
        <v>73</v>
      </c>
      <c r="AA77" s="184"/>
      <c r="AB77" s="185">
        <f ca="1">Overview!$I$16 + IF(Magic!AD77&gt;0,Constants!$F$77) + ROUND(6*(Construction!BM78+Construction!CK77)/IF(Explore!S78&gt;0,Construction!F78-20,Construction!F78),4) + tech_6_5_2*Techs!BJ77 + tech_8_4*Techs!BT77</f>
        <v>0.2</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44407.833333333154</v>
      </c>
      <c r="C78" s="124">
        <f ca="1">OFFSET(TblPop[[#This Row],[Peasants]],-1,0)+OFFSET(TblPop[[#This Row],[Net Peasant]],-1,0)+TblMili[[#This Row],[Release Draft]]</f>
        <v>7236</v>
      </c>
      <c r="D78" s="124">
        <f ca="1">TblMili[[#This Row],[Military]]</f>
        <v>2727</v>
      </c>
      <c r="E78" s="124">
        <f ca="1">TblMili[[#This Row],[Draftees]]</f>
        <v>851</v>
      </c>
      <c r="F78" s="124">
        <f ca="1">TblPop[[#This Row],[Peasants]]+TblPop[[#This Row],[Military]]</f>
        <v>9963</v>
      </c>
      <c r="G78" s="180">
        <f ca="1">TblPop[[#This Row],[Military]]/TblPop[[#This Row],[Total]]</f>
        <v>0.27371273712737126</v>
      </c>
      <c r="H78" s="181">
        <f ca="1">MIN(TblPop[[#This Row],[Peasants]],TblPop[[#This Row],[Jobs]])</f>
        <v>7236</v>
      </c>
      <c r="I78" s="180">
        <f ca="1">MIN(OFFSET(TblPop[[#This Row],[Jobs]],1,0)/TblPop[[#This Row],[Peasants]],1)</f>
        <v>1</v>
      </c>
      <c r="J78" s="181">
        <f ca="1">SUM(TblConstr[[#This Row],[Tot Alc]:[Tot GT]],TblConstr[[#This Row],[Tot Shr]:[Tot Doc]],TblConstr[[#This Row],[Dest Alc]:[Dest GT]],TblConstr[[#This Row],[Dest Shr]:[Dest Doc]])*building_employment</f>
        <v>11040</v>
      </c>
      <c r="K78" s="182"/>
      <c r="L78" s="183">
        <f ca="1">TblPop[[#This Row],[Draftees]]</f>
        <v>851</v>
      </c>
      <c r="M78" s="183">
        <f ca="1">TblMili[[#This Row],[Unit 1]]</f>
        <v>0</v>
      </c>
      <c r="N78" s="183">
        <f ca="1">TblMili[[#This Row],[Unit 2]]</f>
        <v>1081</v>
      </c>
      <c r="O78" s="183">
        <f ca="1">TblMili[[#This Row],[Unit 3]]</f>
        <v>125</v>
      </c>
      <c r="P78" s="183">
        <f ca="1">TblMili[[#This Row],[Unit 4]]</f>
        <v>600</v>
      </c>
      <c r="Q78" s="183">
        <f ca="1">TblMili[[#This Row],[Spies]]</f>
        <v>35</v>
      </c>
      <c r="R78" s="183">
        <f ca="1">TblMili[[#This Row],[Wizards]]</f>
        <v>35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9963</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8" s="124">
        <f ca="1">MAX(-5%*TblPop[[#This Row],[Peasants]]-TblPop[[#This Row],[Draft Growth]],MIN(OFFSET(TblPop[[#This Row],[Net max]],1,0)-TblPop[[#This Row],[Peasants]]-TblPop[[#This Row],[Military]]-TblPop[[#This Row],[Draft Growth]],TblPop[[#This Row],[Modded Birth]]-TblPop[[#This Row],[Draft Growth]]))</f>
        <v>-72</v>
      </c>
      <c r="X78" s="124">
        <f ca="1">ROUND(TblPop[[#This Row],[Raw Birth]]*(1+TblPop[[#This Row],[Growth]]),0)</f>
        <v>258</v>
      </c>
      <c r="Y78" s="124">
        <f ca="1">(TblPop[[#This Row],[Peasants]]-TblPop[[#This Row],[Draft Growth]])*raw_pop_growth</f>
        <v>214.92</v>
      </c>
      <c r="Z78" s="124">
        <f ca="1">IF(TblPop[[#This Row],[Military%]]&lt;TblMili[[#This Row],[Draftrate]],ROUND(TblPop[[#This Row],[Peasants]]*Constants!$B$53,0), 0)</f>
        <v>72</v>
      </c>
      <c r="AA78" s="184"/>
      <c r="AB78" s="185">
        <f ca="1">Overview!$I$16 + IF(Magic!AD78&gt;0,Constants!$F$77) + ROUND(6*(Construction!BM79+Construction!CK78)/IF(Explore!S79&gt;0,Construction!F79-20,Construction!F79),4) + tech_6_5_2*Techs!BJ78 + tech_8_4*Techs!BT78</f>
        <v>0.2</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44407.874999999818</v>
      </c>
      <c r="C79" s="124">
        <f ca="1">OFFSET(TblPop[[#This Row],[Peasants]],-1,0)+OFFSET(TblPop[[#This Row],[Net Peasant]],-1,0)+TblMili[[#This Row],[Release Draft]]</f>
        <v>7164</v>
      </c>
      <c r="D79" s="124">
        <f ca="1">TblMili[[#This Row],[Military]]</f>
        <v>2799</v>
      </c>
      <c r="E79" s="124">
        <f ca="1">TblMili[[#This Row],[Draftees]]</f>
        <v>923</v>
      </c>
      <c r="F79" s="124">
        <f ca="1">TblPop[[#This Row],[Peasants]]+TblPop[[#This Row],[Military]]</f>
        <v>9963</v>
      </c>
      <c r="G79" s="180">
        <f ca="1">TblPop[[#This Row],[Military]]/TblPop[[#This Row],[Total]]</f>
        <v>0.28093947606142727</v>
      </c>
      <c r="H79" s="181">
        <f ca="1">MIN(TblPop[[#This Row],[Peasants]],TblPop[[#This Row],[Jobs]])</f>
        <v>7164</v>
      </c>
      <c r="I79" s="180">
        <f ca="1">MIN(OFFSET(TblPop[[#This Row],[Jobs]],1,0)/TblPop[[#This Row],[Peasants]],1)</f>
        <v>1</v>
      </c>
      <c r="J79" s="181">
        <f ca="1">SUM(TblConstr[[#This Row],[Tot Alc]:[Tot GT]],TblConstr[[#This Row],[Tot Shr]:[Tot Doc]],TblConstr[[#This Row],[Dest Alc]:[Dest GT]],TblConstr[[#This Row],[Dest Shr]:[Dest Doc]])*building_employment</f>
        <v>11040</v>
      </c>
      <c r="K79" s="182"/>
      <c r="L79" s="183">
        <f ca="1">TblPop[[#This Row],[Draftees]]</f>
        <v>923</v>
      </c>
      <c r="M79" s="183">
        <f ca="1">TblMili[[#This Row],[Unit 1]]</f>
        <v>0</v>
      </c>
      <c r="N79" s="183">
        <f ca="1">TblMili[[#This Row],[Unit 2]]</f>
        <v>1081</v>
      </c>
      <c r="O79" s="183">
        <f ca="1">TblMili[[#This Row],[Unit 3]]</f>
        <v>125</v>
      </c>
      <c r="P79" s="183">
        <f ca="1">TblMili[[#This Row],[Unit 4]]</f>
        <v>600</v>
      </c>
      <c r="Q79" s="183">
        <f ca="1">TblMili[[#This Row],[Spies]]</f>
        <v>35</v>
      </c>
      <c r="R79" s="183">
        <f ca="1">TblMili[[#This Row],[Wizards]]</f>
        <v>35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9963</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9" s="124">
        <f ca="1">MAX(-5%*TblPop[[#This Row],[Peasants]]-TblPop[[#This Row],[Draft Growth]],MIN(OFFSET(TblPop[[#This Row],[Net max]],1,0)-TblPop[[#This Row],[Peasants]]-TblPop[[#This Row],[Military]]-TblPop[[#This Row],[Draft Growth]],TblPop[[#This Row],[Modded Birth]]-TblPop[[#This Row],[Draft Growth]]))</f>
        <v>-72</v>
      </c>
      <c r="X79" s="124">
        <f ca="1">ROUND(TblPop[[#This Row],[Raw Birth]]*(1+TblPop[[#This Row],[Growth]]),0)</f>
        <v>255</v>
      </c>
      <c r="Y79" s="124">
        <f ca="1">(TblPop[[#This Row],[Peasants]]-TblPop[[#This Row],[Draft Growth]])*raw_pop_growth</f>
        <v>212.76</v>
      </c>
      <c r="Z79" s="124">
        <f ca="1">IF(TblPop[[#This Row],[Military%]]&lt;TblMili[[#This Row],[Draftrate]],ROUND(TblPop[[#This Row],[Peasants]]*Constants!$B$53,0), 0)</f>
        <v>72</v>
      </c>
      <c r="AA79" s="184"/>
      <c r="AB79" s="185">
        <f ca="1">Overview!$I$16 + IF(Magic!AD79&gt;0,Constants!$F$77) + ROUND(6*(Construction!BM80+Construction!CK79)/IF(Explore!S80&gt;0,Construction!F80-20,Construction!F80),4) + tech_6_5_2*Techs!BJ79 + tech_8_4*Techs!BT79</f>
        <v>0.2</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44407.916666666482</v>
      </c>
      <c r="C80" s="124">
        <f ca="1">OFFSET(TblPop[[#This Row],[Peasants]],-1,0)+OFFSET(TblPop[[#This Row],[Net Peasant]],-1,0)+TblMili[[#This Row],[Release Draft]]</f>
        <v>7092</v>
      </c>
      <c r="D80" s="124">
        <f ca="1">TblMili[[#This Row],[Military]]</f>
        <v>2871</v>
      </c>
      <c r="E80" s="124">
        <f ca="1">TblMili[[#This Row],[Draftees]]</f>
        <v>995</v>
      </c>
      <c r="F80" s="124">
        <f ca="1">TblPop[[#This Row],[Peasants]]+TblPop[[#This Row],[Military]]</f>
        <v>9963</v>
      </c>
      <c r="G80" s="180">
        <f ca="1">TblPop[[#This Row],[Military]]/TblPop[[#This Row],[Total]]</f>
        <v>0.28816621499548328</v>
      </c>
      <c r="H80" s="181">
        <f ca="1">MIN(TblPop[[#This Row],[Peasants]],TblPop[[#This Row],[Jobs]])</f>
        <v>7092</v>
      </c>
      <c r="I80" s="180">
        <f ca="1">MIN(OFFSET(TblPop[[#This Row],[Jobs]],1,0)/TblPop[[#This Row],[Peasants]],1)</f>
        <v>1</v>
      </c>
      <c r="J80" s="181">
        <f ca="1">SUM(TblConstr[[#This Row],[Tot Alc]:[Tot GT]],TblConstr[[#This Row],[Tot Shr]:[Tot Doc]],TblConstr[[#This Row],[Dest Alc]:[Dest GT]],TblConstr[[#This Row],[Dest Shr]:[Dest Doc]])*building_employment</f>
        <v>11040</v>
      </c>
      <c r="K80" s="182"/>
      <c r="L80" s="183">
        <f ca="1">TblPop[[#This Row],[Draftees]]</f>
        <v>995</v>
      </c>
      <c r="M80" s="183">
        <f ca="1">TblMili[[#This Row],[Unit 1]]</f>
        <v>0</v>
      </c>
      <c r="N80" s="183">
        <f ca="1">TblMili[[#This Row],[Unit 2]]</f>
        <v>1081</v>
      </c>
      <c r="O80" s="183">
        <f ca="1">TblMili[[#This Row],[Unit 3]]</f>
        <v>125</v>
      </c>
      <c r="P80" s="183">
        <f ca="1">TblMili[[#This Row],[Unit 4]]</f>
        <v>600</v>
      </c>
      <c r="Q80" s="183">
        <f ca="1">TblMili[[#This Row],[Spies]]</f>
        <v>35</v>
      </c>
      <c r="R80" s="183">
        <f ca="1">TblMili[[#This Row],[Wizards]]</f>
        <v>35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9963</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0" s="124">
        <f ca="1">MAX(-5%*TblPop[[#This Row],[Peasants]]-TblPop[[#This Row],[Draft Growth]],MIN(OFFSET(TblPop[[#This Row],[Net max]],1,0)-TblPop[[#This Row],[Peasants]]-TblPop[[#This Row],[Military]]-TblPop[[#This Row],[Draft Growth]],TblPop[[#This Row],[Modded Birth]]-TblPop[[#This Row],[Draft Growth]]))</f>
        <v>-71</v>
      </c>
      <c r="X80" s="124">
        <f ca="1">ROUND(TblPop[[#This Row],[Raw Birth]]*(1+TblPop[[#This Row],[Growth]]),0)</f>
        <v>253</v>
      </c>
      <c r="Y80" s="124">
        <f ca="1">(TblPop[[#This Row],[Peasants]]-TblPop[[#This Row],[Draft Growth]])*raw_pop_growth</f>
        <v>210.63</v>
      </c>
      <c r="Z80" s="124">
        <f ca="1">IF(TblPop[[#This Row],[Military%]]&lt;TblMili[[#This Row],[Draftrate]],ROUND(TblPop[[#This Row],[Peasants]]*Constants!$B$53,0), 0)</f>
        <v>71</v>
      </c>
      <c r="AA80" s="184"/>
      <c r="AB80" s="185">
        <f ca="1">Overview!$I$16 + IF(Magic!AD80&gt;0,Constants!$F$77) + ROUND(6*(Construction!BM81+Construction!CK80)/IF(Explore!S81&gt;0,Construction!F81-20,Construction!F81),4) + tech_6_5_2*Techs!BJ80 + tech_8_4*Techs!BT80</f>
        <v>0.2</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44407.958333333147</v>
      </c>
      <c r="C81" s="124">
        <f ca="1">OFFSET(TblPop[[#This Row],[Peasants]],-1,0)+OFFSET(TblPop[[#This Row],[Net Peasant]],-1,0)+TblMili[[#This Row],[Release Draft]]</f>
        <v>7021</v>
      </c>
      <c r="D81" s="124">
        <f ca="1">TblMili[[#This Row],[Military]]</f>
        <v>2942</v>
      </c>
      <c r="E81" s="124">
        <f ca="1">TblMili[[#This Row],[Draftees]]</f>
        <v>1066</v>
      </c>
      <c r="F81" s="124">
        <f ca="1">TblPop[[#This Row],[Peasants]]+TblPop[[#This Row],[Military]]</f>
        <v>9963</v>
      </c>
      <c r="G81" s="180">
        <f ca="1">TblPop[[#This Row],[Military]]/TblPop[[#This Row],[Total]]</f>
        <v>0.29529258255545521</v>
      </c>
      <c r="H81" s="181">
        <f ca="1">MIN(TblPop[[#This Row],[Peasants]],TblPop[[#This Row],[Jobs]])</f>
        <v>7021</v>
      </c>
      <c r="I81" s="180">
        <f ca="1">MIN(OFFSET(TblPop[[#This Row],[Jobs]],1,0)/TblPop[[#This Row],[Peasants]],1)</f>
        <v>1</v>
      </c>
      <c r="J81" s="181">
        <f ca="1">SUM(TblConstr[[#This Row],[Tot Alc]:[Tot GT]],TblConstr[[#This Row],[Tot Shr]:[Tot Doc]],TblConstr[[#This Row],[Dest Alc]:[Dest GT]],TblConstr[[#This Row],[Dest Shr]:[Dest Doc]])*building_employment</f>
        <v>11040</v>
      </c>
      <c r="K81" s="182"/>
      <c r="L81" s="183">
        <f ca="1">TblPop[[#This Row],[Draftees]]</f>
        <v>1066</v>
      </c>
      <c r="M81" s="183">
        <f ca="1">TblMili[[#This Row],[Unit 1]]</f>
        <v>0</v>
      </c>
      <c r="N81" s="183">
        <f ca="1">TblMili[[#This Row],[Unit 2]]</f>
        <v>1081</v>
      </c>
      <c r="O81" s="183">
        <f ca="1">TblMili[[#This Row],[Unit 3]]</f>
        <v>125</v>
      </c>
      <c r="P81" s="183">
        <f ca="1">TblMili[[#This Row],[Unit 4]]</f>
        <v>600</v>
      </c>
      <c r="Q81" s="183">
        <f ca="1">TblMili[[#This Row],[Spies]]</f>
        <v>35</v>
      </c>
      <c r="R81" s="183">
        <f ca="1">TblMili[[#This Row],[Wizards]]</f>
        <v>35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9963</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1" s="124">
        <f ca="1">MAX(-5%*TblPop[[#This Row],[Peasants]]-TblPop[[#This Row],[Draft Growth]],MIN(OFFSET(TblPop[[#This Row],[Net max]],1,0)-TblPop[[#This Row],[Peasants]]-TblPop[[#This Row],[Military]]-TblPop[[#This Row],[Draft Growth]],TblPop[[#This Row],[Modded Birth]]-TblPop[[#This Row],[Draft Growth]]))</f>
        <v>-70</v>
      </c>
      <c r="X81" s="124">
        <f ca="1">ROUND(TblPop[[#This Row],[Raw Birth]]*(1+TblPop[[#This Row],[Growth]]),0)</f>
        <v>250</v>
      </c>
      <c r="Y81" s="124">
        <f ca="1">(TblPop[[#This Row],[Peasants]]-TblPop[[#This Row],[Draft Growth]])*raw_pop_growth</f>
        <v>208.53</v>
      </c>
      <c r="Z81" s="124">
        <f ca="1">IF(TblPop[[#This Row],[Military%]]&lt;TblMili[[#This Row],[Draftrate]],ROUND(TblPop[[#This Row],[Peasants]]*Constants!$B$53,0), 0)</f>
        <v>70</v>
      </c>
      <c r="AA81" s="184"/>
      <c r="AB81" s="185">
        <f ca="1">Overview!$I$16 + IF(Magic!AD81&gt;0,Constants!$F$77) + ROUND(6*(Construction!BM82+Construction!CK81)/IF(Explore!S82&gt;0,Construction!F82-20,Construction!F82),4) + tech_6_5_2*Techs!BJ81 + tech_8_4*Techs!BT81</f>
        <v>0.2</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44407.999999999811</v>
      </c>
      <c r="C82" s="124">
        <f ca="1">OFFSET(TblPop[[#This Row],[Peasants]],-1,0)+OFFSET(TblPop[[#This Row],[Net Peasant]],-1,0)+TblMili[[#This Row],[Release Draft]]</f>
        <v>6951</v>
      </c>
      <c r="D82" s="124">
        <f ca="1">TblMili[[#This Row],[Military]]</f>
        <v>3012</v>
      </c>
      <c r="E82" s="124">
        <f ca="1">TblMili[[#This Row],[Draftees]]</f>
        <v>1136</v>
      </c>
      <c r="F82" s="124">
        <f ca="1">TblPop[[#This Row],[Peasants]]+TblPop[[#This Row],[Military]]</f>
        <v>9963</v>
      </c>
      <c r="G82" s="180">
        <f ca="1">TblPop[[#This Row],[Military]]/TblPop[[#This Row],[Total]]</f>
        <v>0.30231857874134299</v>
      </c>
      <c r="H82" s="181">
        <f ca="1">MIN(TblPop[[#This Row],[Peasants]],TblPop[[#This Row],[Jobs]])</f>
        <v>6951</v>
      </c>
      <c r="I82" s="180">
        <f ca="1">MIN(OFFSET(TblPop[[#This Row],[Jobs]],1,0)/TblPop[[#This Row],[Peasants]],1)</f>
        <v>1</v>
      </c>
      <c r="J82" s="181">
        <f ca="1">SUM(TblConstr[[#This Row],[Tot Alc]:[Tot GT]],TblConstr[[#This Row],[Tot Shr]:[Tot Doc]],TblConstr[[#This Row],[Dest Alc]:[Dest GT]],TblConstr[[#This Row],[Dest Shr]:[Dest Doc]])*building_employment</f>
        <v>11040</v>
      </c>
      <c r="K82" s="182"/>
      <c r="L82" s="183">
        <f ca="1">TblPop[[#This Row],[Draftees]]</f>
        <v>1136</v>
      </c>
      <c r="M82" s="183">
        <f ca="1">TblMili[[#This Row],[Unit 1]]</f>
        <v>0</v>
      </c>
      <c r="N82" s="183">
        <f ca="1">TblMili[[#This Row],[Unit 2]]</f>
        <v>1081</v>
      </c>
      <c r="O82" s="183">
        <f ca="1">TblMili[[#This Row],[Unit 3]]</f>
        <v>125</v>
      </c>
      <c r="P82" s="183">
        <f ca="1">TblMili[[#This Row],[Unit 4]]</f>
        <v>600</v>
      </c>
      <c r="Q82" s="183">
        <f ca="1">TblMili[[#This Row],[Spies]]</f>
        <v>35</v>
      </c>
      <c r="R82" s="183">
        <f ca="1">TblMili[[#This Row],[Wizards]]</f>
        <v>35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9963</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2" s="124">
        <f ca="1">MAX(-5%*TblPop[[#This Row],[Peasants]]-TblPop[[#This Row],[Draft Growth]],MIN(OFFSET(TblPop[[#This Row],[Net max]],1,0)-TblPop[[#This Row],[Peasants]]-TblPop[[#This Row],[Military]]-TblPop[[#This Row],[Draft Growth]],TblPop[[#This Row],[Modded Birth]]-TblPop[[#This Row],[Draft Growth]]))</f>
        <v>-70</v>
      </c>
      <c r="X82" s="124">
        <f ca="1">ROUND(TblPop[[#This Row],[Raw Birth]]*(1+TblPop[[#This Row],[Growth]]),0)</f>
        <v>248</v>
      </c>
      <c r="Y82" s="124">
        <f ca="1">(TblPop[[#This Row],[Peasants]]-TblPop[[#This Row],[Draft Growth]])*raw_pop_growth</f>
        <v>206.42999999999998</v>
      </c>
      <c r="Z82" s="124">
        <f ca="1">IF(TblPop[[#This Row],[Military%]]&lt;TblMili[[#This Row],[Draftrate]],ROUND(TblPop[[#This Row],[Peasants]]*Constants!$B$53,0), 0)</f>
        <v>70</v>
      </c>
      <c r="AA82" s="184"/>
      <c r="AB82" s="185">
        <f ca="1">Overview!$I$16 + IF(Magic!AD82&gt;0,Constants!$F$77) + ROUND(6*(Construction!BM83+Construction!CK82)/IF(Explore!S83&gt;0,Construction!F83-20,Construction!F83),4) + tech_6_5_2*Techs!BJ82 + tech_8_4*Techs!BT82</f>
        <v>0.2</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44408.041666666475</v>
      </c>
      <c r="C83" s="124">
        <f ca="1">OFFSET(TblPop[[#This Row],[Peasants]],-1,0)+OFFSET(TblPop[[#This Row],[Net Peasant]],-1,0)+TblMili[[#This Row],[Release Draft]]</f>
        <v>6881</v>
      </c>
      <c r="D83" s="124">
        <f ca="1">TblMili[[#This Row],[Military]]</f>
        <v>3082</v>
      </c>
      <c r="E83" s="124">
        <f ca="1">TblMili[[#This Row],[Draftees]]</f>
        <v>1206</v>
      </c>
      <c r="F83" s="124">
        <f ca="1">TblPop[[#This Row],[Peasants]]+TblPop[[#This Row],[Military]]</f>
        <v>9963</v>
      </c>
      <c r="G83" s="180">
        <f ca="1">TblPop[[#This Row],[Military]]/TblPop[[#This Row],[Total]]</f>
        <v>0.30934457492723078</v>
      </c>
      <c r="H83" s="181">
        <f ca="1">MIN(TblPop[[#This Row],[Peasants]],TblPop[[#This Row],[Jobs]])</f>
        <v>6881</v>
      </c>
      <c r="I83" s="180">
        <f ca="1">MIN(OFFSET(TblPop[[#This Row],[Jobs]],1,0)/TblPop[[#This Row],[Peasants]],1)</f>
        <v>1</v>
      </c>
      <c r="J83" s="181">
        <f ca="1">SUM(TblConstr[[#This Row],[Tot Alc]:[Tot GT]],TblConstr[[#This Row],[Tot Shr]:[Tot Doc]],TblConstr[[#This Row],[Dest Alc]:[Dest GT]],TblConstr[[#This Row],[Dest Shr]:[Dest Doc]])*building_employment</f>
        <v>11040</v>
      </c>
      <c r="K83" s="182"/>
      <c r="L83" s="183">
        <f ca="1">TblPop[[#This Row],[Draftees]]</f>
        <v>1206</v>
      </c>
      <c r="M83" s="183">
        <f ca="1">TblMili[[#This Row],[Unit 1]]</f>
        <v>0</v>
      </c>
      <c r="N83" s="183">
        <f ca="1">TblMili[[#This Row],[Unit 2]]</f>
        <v>1081</v>
      </c>
      <c r="O83" s="183">
        <f ca="1">TblMili[[#This Row],[Unit 3]]</f>
        <v>125</v>
      </c>
      <c r="P83" s="183">
        <f ca="1">TblMili[[#This Row],[Unit 4]]</f>
        <v>600</v>
      </c>
      <c r="Q83" s="183">
        <f ca="1">TblMili[[#This Row],[Spies]]</f>
        <v>35</v>
      </c>
      <c r="R83" s="183">
        <f ca="1">TblMili[[#This Row],[Wizards]]</f>
        <v>35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9963</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3" s="124">
        <f ca="1">MAX(-5%*TblPop[[#This Row],[Peasants]]-TblPop[[#This Row],[Draft Growth]],MIN(OFFSET(TblPop[[#This Row],[Net max]],1,0)-TblPop[[#This Row],[Peasants]]-TblPop[[#This Row],[Military]]-TblPop[[#This Row],[Draft Growth]],TblPop[[#This Row],[Modded Birth]]-TblPop[[#This Row],[Draft Growth]]))</f>
        <v>-69</v>
      </c>
      <c r="X83" s="124">
        <f ca="1">ROUND(TblPop[[#This Row],[Raw Birth]]*(1+TblPop[[#This Row],[Growth]]),0)</f>
        <v>245</v>
      </c>
      <c r="Y83" s="124">
        <f ca="1">(TblPop[[#This Row],[Peasants]]-TblPop[[#This Row],[Draft Growth]])*raw_pop_growth</f>
        <v>204.35999999999999</v>
      </c>
      <c r="Z83" s="124">
        <f ca="1">IF(TblPop[[#This Row],[Military%]]&lt;TblMili[[#This Row],[Draftrate]],ROUND(TblPop[[#This Row],[Peasants]]*Constants!$B$53,0), 0)</f>
        <v>69</v>
      </c>
      <c r="AA83" s="184"/>
      <c r="AB83" s="185">
        <f ca="1">Overview!$I$16 + IF(Magic!AD83&gt;0,Constants!$F$77) + ROUND(6*(Construction!BM84+Construction!CK83)/IF(Explore!S84&gt;0,Construction!F84-20,Construction!F84),4) + tech_6_5_2*Techs!BJ83 + tech_8_4*Techs!BT83</f>
        <v>0.2</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44408.083333333139</v>
      </c>
      <c r="C84" s="124">
        <f ca="1">OFFSET(TblPop[[#This Row],[Peasants]],-1,0)+OFFSET(TblPop[[#This Row],[Net Peasant]],-1,0)+TblMili[[#This Row],[Release Draft]]</f>
        <v>6812</v>
      </c>
      <c r="D84" s="124">
        <f ca="1">TblMili[[#This Row],[Military]]</f>
        <v>3151</v>
      </c>
      <c r="E84" s="124">
        <f ca="1">TblMili[[#This Row],[Draftees]]</f>
        <v>1275</v>
      </c>
      <c r="F84" s="124">
        <f ca="1">TblPop[[#This Row],[Peasants]]+TblPop[[#This Row],[Military]]</f>
        <v>9963</v>
      </c>
      <c r="G84" s="180">
        <f ca="1">TblPop[[#This Row],[Military]]/TblPop[[#This Row],[Total]]</f>
        <v>0.31627019973903442</v>
      </c>
      <c r="H84" s="181">
        <f ca="1">MIN(TblPop[[#This Row],[Peasants]],TblPop[[#This Row],[Jobs]])</f>
        <v>6812</v>
      </c>
      <c r="I84" s="180">
        <f ca="1">MIN(OFFSET(TblPop[[#This Row],[Jobs]],1,0)/TblPop[[#This Row],[Peasants]],1)</f>
        <v>1</v>
      </c>
      <c r="J84" s="181">
        <f ca="1">SUM(TblConstr[[#This Row],[Tot Alc]:[Tot GT]],TblConstr[[#This Row],[Tot Shr]:[Tot Doc]],TblConstr[[#This Row],[Dest Alc]:[Dest GT]],TblConstr[[#This Row],[Dest Shr]:[Dest Doc]])*building_employment</f>
        <v>11040</v>
      </c>
      <c r="K84" s="182"/>
      <c r="L84" s="183">
        <f ca="1">TblPop[[#This Row],[Draftees]]</f>
        <v>1275</v>
      </c>
      <c r="M84" s="183">
        <f ca="1">TblMili[[#This Row],[Unit 1]]</f>
        <v>0</v>
      </c>
      <c r="N84" s="183">
        <f ca="1">TblMili[[#This Row],[Unit 2]]</f>
        <v>1081</v>
      </c>
      <c r="O84" s="183">
        <f ca="1">TblMili[[#This Row],[Unit 3]]</f>
        <v>125</v>
      </c>
      <c r="P84" s="183">
        <f ca="1">TblMili[[#This Row],[Unit 4]]</f>
        <v>600</v>
      </c>
      <c r="Q84" s="183">
        <f ca="1">TblMili[[#This Row],[Spies]]</f>
        <v>35</v>
      </c>
      <c r="R84" s="183">
        <f ca="1">TblMili[[#This Row],[Wizards]]</f>
        <v>35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9963</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4" s="124">
        <f ca="1">MAX(-5%*TblPop[[#This Row],[Peasants]]-TblPop[[#This Row],[Draft Growth]],MIN(OFFSET(TblPop[[#This Row],[Net max]],1,0)-TblPop[[#This Row],[Peasants]]-TblPop[[#This Row],[Military]]-TblPop[[#This Row],[Draft Growth]],TblPop[[#This Row],[Modded Birth]]-TblPop[[#This Row],[Draft Growth]]))</f>
        <v>-68</v>
      </c>
      <c r="X84" s="124">
        <f ca="1">ROUND(TblPop[[#This Row],[Raw Birth]]*(1+TblPop[[#This Row],[Growth]]),0)</f>
        <v>243</v>
      </c>
      <c r="Y84" s="124">
        <f ca="1">(TblPop[[#This Row],[Peasants]]-TblPop[[#This Row],[Draft Growth]])*raw_pop_growth</f>
        <v>202.32</v>
      </c>
      <c r="Z84" s="124">
        <f ca="1">IF(TblPop[[#This Row],[Military%]]&lt;TblMili[[#This Row],[Draftrate]],ROUND(TblPop[[#This Row],[Peasants]]*Constants!$B$53,0), 0)</f>
        <v>68</v>
      </c>
      <c r="AA84" s="184"/>
      <c r="AB84" s="185">
        <f ca="1">Overview!$I$16 + IF(Magic!AD84&gt;0,Constants!$F$77) + ROUND(6*(Construction!BM85+Construction!CK84)/IF(Explore!S85&gt;0,Construction!F85-20,Construction!F85),4) + tech_6_5_2*Techs!BJ84 + tech_8_4*Techs!BT84</f>
        <v>0.2</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44408.124999999804</v>
      </c>
      <c r="C85" s="124">
        <f ca="1">OFFSET(TblPop[[#This Row],[Peasants]],-1,0)+OFFSET(TblPop[[#This Row],[Net Peasant]],-1,0)+TblMili[[#This Row],[Release Draft]]</f>
        <v>6744</v>
      </c>
      <c r="D85" s="124">
        <f ca="1">TblMili[[#This Row],[Military]]</f>
        <v>3219</v>
      </c>
      <c r="E85" s="124">
        <f ca="1">TblMili[[#This Row],[Draftees]]</f>
        <v>1343</v>
      </c>
      <c r="F85" s="124">
        <f ca="1">TblPop[[#This Row],[Peasants]]+TblPop[[#This Row],[Military]]</f>
        <v>9963</v>
      </c>
      <c r="G85" s="180">
        <f ca="1">TblPop[[#This Row],[Military]]/TblPop[[#This Row],[Total]]</f>
        <v>0.32309545317675398</v>
      </c>
      <c r="H85" s="181">
        <f ca="1">MIN(TblPop[[#This Row],[Peasants]],TblPop[[#This Row],[Jobs]])</f>
        <v>6744</v>
      </c>
      <c r="I85" s="180">
        <f ca="1">MIN(OFFSET(TblPop[[#This Row],[Jobs]],1,0)/TblPop[[#This Row],[Peasants]],1)</f>
        <v>1</v>
      </c>
      <c r="J85" s="181">
        <f ca="1">SUM(TblConstr[[#This Row],[Tot Alc]:[Tot GT]],TblConstr[[#This Row],[Tot Shr]:[Tot Doc]],TblConstr[[#This Row],[Dest Alc]:[Dest GT]],TblConstr[[#This Row],[Dest Shr]:[Dest Doc]])*building_employment</f>
        <v>11040</v>
      </c>
      <c r="K85" s="182"/>
      <c r="L85" s="183">
        <f ca="1">TblPop[[#This Row],[Draftees]]</f>
        <v>1343</v>
      </c>
      <c r="M85" s="183">
        <f ca="1">TblMili[[#This Row],[Unit 1]]</f>
        <v>0</v>
      </c>
      <c r="N85" s="183">
        <f ca="1">TblMili[[#This Row],[Unit 2]]</f>
        <v>1081</v>
      </c>
      <c r="O85" s="183">
        <f ca="1">TblMili[[#This Row],[Unit 3]]</f>
        <v>125</v>
      </c>
      <c r="P85" s="183">
        <f ca="1">TblMili[[#This Row],[Unit 4]]</f>
        <v>600</v>
      </c>
      <c r="Q85" s="183">
        <f ca="1">TblMili[[#This Row],[Spies]]</f>
        <v>35</v>
      </c>
      <c r="R85" s="183">
        <f ca="1">TblMili[[#This Row],[Wizards]]</f>
        <v>35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9963</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5" s="124">
        <f ca="1">MAX(-5%*TblPop[[#This Row],[Peasants]]-TblPop[[#This Row],[Draft Growth]],MIN(OFFSET(TblPop[[#This Row],[Net max]],1,0)-TblPop[[#This Row],[Peasants]]-TblPop[[#This Row],[Military]]-TblPop[[#This Row],[Draft Growth]],TblPop[[#This Row],[Modded Birth]]-TblPop[[#This Row],[Draft Growth]]))</f>
        <v>-67</v>
      </c>
      <c r="X85" s="124">
        <f ca="1">ROUND(TblPop[[#This Row],[Raw Birth]]*(1+TblPop[[#This Row],[Growth]]),0)</f>
        <v>240</v>
      </c>
      <c r="Y85" s="124">
        <f ca="1">(TblPop[[#This Row],[Peasants]]-TblPop[[#This Row],[Draft Growth]])*raw_pop_growth</f>
        <v>200.31</v>
      </c>
      <c r="Z85" s="124">
        <f ca="1">IF(TblPop[[#This Row],[Military%]]&lt;TblMili[[#This Row],[Draftrate]],ROUND(TblPop[[#This Row],[Peasants]]*Constants!$B$53,0), 0)</f>
        <v>67</v>
      </c>
      <c r="AA85" s="184"/>
      <c r="AB85" s="185">
        <f ca="1">Overview!$I$16 + IF(Magic!AD85&gt;0,Constants!$F$77) + ROUND(6*(Construction!BM86+Construction!CK85)/IF(Explore!S86&gt;0,Construction!F86-20,Construction!F86),4) + tech_6_5_2*Techs!BJ85 + tech_8_4*Techs!BT85</f>
        <v>0.2</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44408.166666666468</v>
      </c>
      <c r="C86" s="124">
        <f ca="1">OFFSET(TblPop[[#This Row],[Peasants]],-1,0)+OFFSET(TblPop[[#This Row],[Net Peasant]],-1,0)+TblMili[[#This Row],[Release Draft]]</f>
        <v>6677</v>
      </c>
      <c r="D86" s="124">
        <f ca="1">TblMili[[#This Row],[Military]]</f>
        <v>3286</v>
      </c>
      <c r="E86" s="124">
        <f ca="1">TblMili[[#This Row],[Draftees]]</f>
        <v>1410</v>
      </c>
      <c r="F86" s="124">
        <f ca="1">TblPop[[#This Row],[Peasants]]+TblPop[[#This Row],[Military]]</f>
        <v>9963</v>
      </c>
      <c r="G86" s="180">
        <f ca="1">TblPop[[#This Row],[Military]]/TblPop[[#This Row],[Total]]</f>
        <v>0.32982033524038945</v>
      </c>
      <c r="H86" s="181">
        <f ca="1">MIN(TblPop[[#This Row],[Peasants]],TblPop[[#This Row],[Jobs]])</f>
        <v>6677</v>
      </c>
      <c r="I86" s="180">
        <f ca="1">MIN(OFFSET(TblPop[[#This Row],[Jobs]],1,0)/TblPop[[#This Row],[Peasants]],1)</f>
        <v>1</v>
      </c>
      <c r="J86" s="181">
        <f ca="1">SUM(TblConstr[[#This Row],[Tot Alc]:[Tot GT]],TblConstr[[#This Row],[Tot Shr]:[Tot Doc]],TblConstr[[#This Row],[Dest Alc]:[Dest GT]],TblConstr[[#This Row],[Dest Shr]:[Dest Doc]])*building_employment</f>
        <v>11040</v>
      </c>
      <c r="K86" s="182"/>
      <c r="L86" s="183">
        <f ca="1">TblPop[[#This Row],[Draftees]]</f>
        <v>1410</v>
      </c>
      <c r="M86" s="183">
        <f ca="1">TblMili[[#This Row],[Unit 1]]</f>
        <v>0</v>
      </c>
      <c r="N86" s="183">
        <f ca="1">TblMili[[#This Row],[Unit 2]]</f>
        <v>1081</v>
      </c>
      <c r="O86" s="183">
        <f ca="1">TblMili[[#This Row],[Unit 3]]</f>
        <v>125</v>
      </c>
      <c r="P86" s="183">
        <f ca="1">TblMili[[#This Row],[Unit 4]]</f>
        <v>600</v>
      </c>
      <c r="Q86" s="183">
        <f ca="1">TblMili[[#This Row],[Spies]]</f>
        <v>35</v>
      </c>
      <c r="R86" s="183">
        <f ca="1">TblMili[[#This Row],[Wizards]]</f>
        <v>35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9963</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6" s="124">
        <f ca="1">MAX(-5%*TblPop[[#This Row],[Peasants]]-TblPop[[#This Row],[Draft Growth]],MIN(OFFSET(TblPop[[#This Row],[Net max]],1,0)-TblPop[[#This Row],[Peasants]]-TblPop[[#This Row],[Military]]-TblPop[[#This Row],[Draft Growth]],TblPop[[#This Row],[Modded Birth]]-TblPop[[#This Row],[Draft Growth]]))</f>
        <v>-67</v>
      </c>
      <c r="X86" s="124">
        <f ca="1">ROUND(TblPop[[#This Row],[Raw Birth]]*(1+TblPop[[#This Row],[Growth]]),0)</f>
        <v>238</v>
      </c>
      <c r="Y86" s="124">
        <f ca="1">(TblPop[[#This Row],[Peasants]]-TblPop[[#This Row],[Draft Growth]])*raw_pop_growth</f>
        <v>198.29999999999998</v>
      </c>
      <c r="Z86" s="124">
        <f ca="1">IF(TblPop[[#This Row],[Military%]]&lt;TblMili[[#This Row],[Draftrate]],ROUND(TblPop[[#This Row],[Peasants]]*Constants!$B$53,0), 0)</f>
        <v>67</v>
      </c>
      <c r="AA86" s="184"/>
      <c r="AB86" s="185">
        <f ca="1">Overview!$I$16 + IF(Magic!AD86&gt;0,Constants!$F$77) + ROUND(6*(Construction!BM87+Construction!CK86)/IF(Explore!S87&gt;0,Construction!F87-20,Construction!F87),4) + tech_6_5_2*Techs!BJ86 + tech_8_4*Techs!BT86</f>
        <v>0.2</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44408.208333333132</v>
      </c>
      <c r="C87" s="124">
        <f ca="1">OFFSET(TblPop[[#This Row],[Peasants]],-1,0)+OFFSET(TblPop[[#This Row],[Net Peasant]],-1,0)+TblMili[[#This Row],[Release Draft]]</f>
        <v>6610</v>
      </c>
      <c r="D87" s="124">
        <f ca="1">TblMili[[#This Row],[Military]]</f>
        <v>3353</v>
      </c>
      <c r="E87" s="124">
        <f ca="1">TblMili[[#This Row],[Draftees]]</f>
        <v>1477</v>
      </c>
      <c r="F87" s="124">
        <f ca="1">TblPop[[#This Row],[Peasants]]+TblPop[[#This Row],[Military]]</f>
        <v>9963</v>
      </c>
      <c r="G87" s="180">
        <f ca="1">TblPop[[#This Row],[Military]]/TblPop[[#This Row],[Total]]</f>
        <v>0.33654521730402487</v>
      </c>
      <c r="H87" s="181">
        <f ca="1">MIN(TblPop[[#This Row],[Peasants]],TblPop[[#This Row],[Jobs]])</f>
        <v>6610</v>
      </c>
      <c r="I87" s="180">
        <f ca="1">MIN(OFFSET(TblPop[[#This Row],[Jobs]],1,0)/TblPop[[#This Row],[Peasants]],1)</f>
        <v>1</v>
      </c>
      <c r="J87" s="181">
        <f ca="1">SUM(TblConstr[[#This Row],[Tot Alc]:[Tot GT]],TblConstr[[#This Row],[Tot Shr]:[Tot Doc]],TblConstr[[#This Row],[Dest Alc]:[Dest GT]],TblConstr[[#This Row],[Dest Shr]:[Dest Doc]])*building_employment</f>
        <v>11040</v>
      </c>
      <c r="K87" s="182"/>
      <c r="L87" s="183">
        <f ca="1">TblPop[[#This Row],[Draftees]]</f>
        <v>1477</v>
      </c>
      <c r="M87" s="183">
        <f ca="1">TblMili[[#This Row],[Unit 1]]</f>
        <v>0</v>
      </c>
      <c r="N87" s="183">
        <f ca="1">TblMili[[#This Row],[Unit 2]]</f>
        <v>1081</v>
      </c>
      <c r="O87" s="183">
        <f ca="1">TblMili[[#This Row],[Unit 3]]</f>
        <v>125</v>
      </c>
      <c r="P87" s="183">
        <f ca="1">TblMili[[#This Row],[Unit 4]]</f>
        <v>600</v>
      </c>
      <c r="Q87" s="183">
        <f ca="1">TblMili[[#This Row],[Spies]]</f>
        <v>35</v>
      </c>
      <c r="R87" s="183">
        <f ca="1">TblMili[[#This Row],[Wizards]]</f>
        <v>35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9963</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7" s="124">
        <f ca="1">MAX(-5%*TblPop[[#This Row],[Peasants]]-TblPop[[#This Row],[Draft Growth]],MIN(OFFSET(TblPop[[#This Row],[Net max]],1,0)-TblPop[[#This Row],[Peasants]]-TblPop[[#This Row],[Military]]-TblPop[[#This Row],[Draft Growth]],TblPop[[#This Row],[Modded Birth]]-TblPop[[#This Row],[Draft Growth]]))</f>
        <v>-66</v>
      </c>
      <c r="X87" s="124">
        <f ca="1">ROUND(TblPop[[#This Row],[Raw Birth]]*(1+TblPop[[#This Row],[Growth]]),0)</f>
        <v>236</v>
      </c>
      <c r="Y87" s="124">
        <f ca="1">(TblPop[[#This Row],[Peasants]]-TblPop[[#This Row],[Draft Growth]])*raw_pop_growth</f>
        <v>196.32</v>
      </c>
      <c r="Z87" s="124">
        <f ca="1">IF(TblPop[[#This Row],[Military%]]&lt;TblMili[[#This Row],[Draftrate]],ROUND(TblPop[[#This Row],[Peasants]]*Constants!$B$53,0), 0)</f>
        <v>66</v>
      </c>
      <c r="AA87" s="184"/>
      <c r="AB87" s="185">
        <f ca="1">Overview!$I$16 + IF(Magic!AD87&gt;0,Constants!$F$77) + ROUND(6*(Construction!BM88+Construction!CK87)/IF(Explore!S88&gt;0,Construction!F88-20,Construction!F88),4) + tech_6_5_2*Techs!BJ87 + tech_8_4*Techs!BT87</f>
        <v>0.2</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44408.249999999796</v>
      </c>
      <c r="C88" s="124">
        <f ca="1">OFFSET(TblPop[[#This Row],[Peasants]],-1,0)+OFFSET(TblPop[[#This Row],[Net Peasant]],-1,0)+TblMili[[#This Row],[Release Draft]]</f>
        <v>6544</v>
      </c>
      <c r="D88" s="124">
        <f ca="1">TblMili[[#This Row],[Military]]</f>
        <v>3419</v>
      </c>
      <c r="E88" s="124">
        <f ca="1">TblMili[[#This Row],[Draftees]]</f>
        <v>1543</v>
      </c>
      <c r="F88" s="124">
        <f ca="1">TblPop[[#This Row],[Peasants]]+TblPop[[#This Row],[Military]]</f>
        <v>9963</v>
      </c>
      <c r="G88" s="180">
        <f ca="1">TblPop[[#This Row],[Military]]/TblPop[[#This Row],[Total]]</f>
        <v>0.34316972799357626</v>
      </c>
      <c r="H88" s="181">
        <f ca="1">MIN(TblPop[[#This Row],[Peasants]],TblPop[[#This Row],[Jobs]])</f>
        <v>6544</v>
      </c>
      <c r="I88" s="180">
        <f ca="1">MIN(OFFSET(TblPop[[#This Row],[Jobs]],1,0)/TblPop[[#This Row],[Peasants]],1)</f>
        <v>1</v>
      </c>
      <c r="J88" s="181">
        <f ca="1">SUM(TblConstr[[#This Row],[Tot Alc]:[Tot GT]],TblConstr[[#This Row],[Tot Shr]:[Tot Doc]],TblConstr[[#This Row],[Dest Alc]:[Dest GT]],TblConstr[[#This Row],[Dest Shr]:[Dest Doc]])*building_employment</f>
        <v>11040</v>
      </c>
      <c r="K88" s="182"/>
      <c r="L88" s="183">
        <f ca="1">TblPop[[#This Row],[Draftees]]</f>
        <v>1543</v>
      </c>
      <c r="M88" s="183">
        <f ca="1">TblMili[[#This Row],[Unit 1]]</f>
        <v>0</v>
      </c>
      <c r="N88" s="183">
        <f ca="1">TblMili[[#This Row],[Unit 2]]</f>
        <v>1081</v>
      </c>
      <c r="O88" s="183">
        <f ca="1">TblMili[[#This Row],[Unit 3]]</f>
        <v>125</v>
      </c>
      <c r="P88" s="183">
        <f ca="1">TblMili[[#This Row],[Unit 4]]</f>
        <v>600</v>
      </c>
      <c r="Q88" s="183">
        <f ca="1">TblMili[[#This Row],[Spies]]</f>
        <v>35</v>
      </c>
      <c r="R88" s="183">
        <f ca="1">TblMili[[#This Row],[Wizards]]</f>
        <v>35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9963</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8" s="124">
        <f ca="1">MAX(-5%*TblPop[[#This Row],[Peasants]]-TblPop[[#This Row],[Draft Growth]],MIN(OFFSET(TblPop[[#This Row],[Net max]],1,0)-TblPop[[#This Row],[Peasants]]-TblPop[[#This Row],[Military]]-TblPop[[#This Row],[Draft Growth]],TblPop[[#This Row],[Modded Birth]]-TblPop[[#This Row],[Draft Growth]]))</f>
        <v>-65</v>
      </c>
      <c r="X88" s="124">
        <f ca="1">ROUND(TblPop[[#This Row],[Raw Birth]]*(1+TblPop[[#This Row],[Growth]]),0)</f>
        <v>233</v>
      </c>
      <c r="Y88" s="124">
        <f ca="1">(TblPop[[#This Row],[Peasants]]-TblPop[[#This Row],[Draft Growth]])*raw_pop_growth</f>
        <v>194.37</v>
      </c>
      <c r="Z88" s="124">
        <f ca="1">IF(TblPop[[#This Row],[Military%]]&lt;TblMili[[#This Row],[Draftrate]],ROUND(TblPop[[#This Row],[Peasants]]*Constants!$B$53,0), 0)</f>
        <v>65</v>
      </c>
      <c r="AA88" s="184"/>
      <c r="AB88" s="185">
        <f ca="1">Overview!$I$16 + IF(Magic!AD88&gt;0,Constants!$F$77) + ROUND(6*(Construction!BM89+Construction!CK88)/IF(Explore!S89&gt;0,Construction!F89-20,Construction!F89),4) + tech_6_5_2*Techs!BJ88 + tech_8_4*Techs!BT88</f>
        <v>0.2</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44408.291666666461</v>
      </c>
      <c r="C89" s="124">
        <f ca="1">OFFSET(TblPop[[#This Row],[Peasants]],-1,0)+OFFSET(TblPop[[#This Row],[Net Peasant]],-1,0)+TblMili[[#This Row],[Release Draft]]</f>
        <v>6479</v>
      </c>
      <c r="D89" s="124">
        <f ca="1">TblMili[[#This Row],[Military]]</f>
        <v>3484</v>
      </c>
      <c r="E89" s="124">
        <f ca="1">TblMili[[#This Row],[Draftees]]</f>
        <v>1608</v>
      </c>
      <c r="F89" s="124">
        <f ca="1">TblPop[[#This Row],[Peasants]]+TblPop[[#This Row],[Military]]</f>
        <v>9963</v>
      </c>
      <c r="G89" s="180">
        <f ca="1">TblPop[[#This Row],[Military]]/TblPop[[#This Row],[Total]]</f>
        <v>0.34969386730904345</v>
      </c>
      <c r="H89" s="181">
        <f ca="1">MIN(TblPop[[#This Row],[Peasants]],TblPop[[#This Row],[Jobs]])</f>
        <v>6479</v>
      </c>
      <c r="I89" s="180">
        <f ca="1">MIN(OFFSET(TblPop[[#This Row],[Jobs]],1,0)/TblPop[[#This Row],[Peasants]],1)</f>
        <v>1</v>
      </c>
      <c r="J89" s="181">
        <f ca="1">SUM(TblConstr[[#This Row],[Tot Alc]:[Tot GT]],TblConstr[[#This Row],[Tot Shr]:[Tot Doc]],TblConstr[[#This Row],[Dest Alc]:[Dest GT]],TblConstr[[#This Row],[Dest Shr]:[Dest Doc]])*building_employment</f>
        <v>11040</v>
      </c>
      <c r="K89" s="182"/>
      <c r="L89" s="183">
        <f ca="1">TblPop[[#This Row],[Draftees]]</f>
        <v>1608</v>
      </c>
      <c r="M89" s="183">
        <f ca="1">TblMili[[#This Row],[Unit 1]]</f>
        <v>0</v>
      </c>
      <c r="N89" s="183">
        <f ca="1">TblMili[[#This Row],[Unit 2]]</f>
        <v>1081</v>
      </c>
      <c r="O89" s="183">
        <f ca="1">TblMili[[#This Row],[Unit 3]]</f>
        <v>125</v>
      </c>
      <c r="P89" s="183">
        <f ca="1">TblMili[[#This Row],[Unit 4]]</f>
        <v>600</v>
      </c>
      <c r="Q89" s="183">
        <f ca="1">TblMili[[#This Row],[Spies]]</f>
        <v>35</v>
      </c>
      <c r="R89" s="183">
        <f ca="1">TblMili[[#This Row],[Wizards]]</f>
        <v>35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9963</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9" s="124">
        <f ca="1">MAX(-5%*TblPop[[#This Row],[Peasants]]-TblPop[[#This Row],[Draft Growth]],MIN(OFFSET(TblPop[[#This Row],[Net max]],1,0)-TblPop[[#This Row],[Peasants]]-TblPop[[#This Row],[Military]]-TblPop[[#This Row],[Draft Growth]],TblPop[[#This Row],[Modded Birth]]-TblPop[[#This Row],[Draft Growth]]))</f>
        <v>-65</v>
      </c>
      <c r="X89" s="124">
        <f ca="1">ROUND(TblPop[[#This Row],[Raw Birth]]*(1+TblPop[[#This Row],[Growth]]),0)</f>
        <v>231</v>
      </c>
      <c r="Y89" s="124">
        <f ca="1">(TblPop[[#This Row],[Peasants]]-TblPop[[#This Row],[Draft Growth]])*raw_pop_growth</f>
        <v>192.42</v>
      </c>
      <c r="Z89" s="124">
        <f ca="1">IF(TblPop[[#This Row],[Military%]]&lt;TblMili[[#This Row],[Draftrate]],ROUND(TblPop[[#This Row],[Peasants]]*Constants!$B$53,0), 0)</f>
        <v>65</v>
      </c>
      <c r="AA89" s="184"/>
      <c r="AB89" s="185">
        <f ca="1">Overview!$I$16 + IF(Magic!AD89&gt;0,Constants!$F$77) + ROUND(6*(Construction!BM90+Construction!CK89)/IF(Explore!S90&gt;0,Construction!F90-20,Construction!F90),4) + tech_6_5_2*Techs!BJ89 + tech_8_4*Techs!BT89</f>
        <v>0.2</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44408.333333333125</v>
      </c>
      <c r="C90" s="124">
        <f ca="1">OFFSET(TblPop[[#This Row],[Peasants]],-1,0)+OFFSET(TblPop[[#This Row],[Net Peasant]],-1,0)+TblMili[[#This Row],[Release Draft]]</f>
        <v>6414</v>
      </c>
      <c r="D90" s="124">
        <f ca="1">TblMili[[#This Row],[Military]]</f>
        <v>3549</v>
      </c>
      <c r="E90" s="124">
        <f ca="1">TblMili[[#This Row],[Draftees]]</f>
        <v>1673</v>
      </c>
      <c r="F90" s="124">
        <f ca="1">TblPop[[#This Row],[Peasants]]+TblPop[[#This Row],[Military]]</f>
        <v>9963</v>
      </c>
      <c r="G90" s="180">
        <f ca="1">TblPop[[#This Row],[Military]]/TblPop[[#This Row],[Total]]</f>
        <v>0.3562180066245107</v>
      </c>
      <c r="H90" s="181">
        <f ca="1">MIN(TblPop[[#This Row],[Peasants]],TblPop[[#This Row],[Jobs]])</f>
        <v>6414</v>
      </c>
      <c r="I90" s="180">
        <f ca="1">MIN(OFFSET(TblPop[[#This Row],[Jobs]],1,0)/TblPop[[#This Row],[Peasants]],1)</f>
        <v>1</v>
      </c>
      <c r="J90" s="181">
        <f ca="1">SUM(TblConstr[[#This Row],[Tot Alc]:[Tot GT]],TblConstr[[#This Row],[Tot Shr]:[Tot Doc]],TblConstr[[#This Row],[Dest Alc]:[Dest GT]],TblConstr[[#This Row],[Dest Shr]:[Dest Doc]])*building_employment</f>
        <v>11040</v>
      </c>
      <c r="K90" s="182"/>
      <c r="L90" s="183">
        <f ca="1">TblPop[[#This Row],[Draftees]]</f>
        <v>1673</v>
      </c>
      <c r="M90" s="183">
        <f ca="1">TblMili[[#This Row],[Unit 1]]</f>
        <v>0</v>
      </c>
      <c r="N90" s="183">
        <f ca="1">TblMili[[#This Row],[Unit 2]]</f>
        <v>1081</v>
      </c>
      <c r="O90" s="183">
        <f ca="1">TblMili[[#This Row],[Unit 3]]</f>
        <v>125</v>
      </c>
      <c r="P90" s="183">
        <f ca="1">TblMili[[#This Row],[Unit 4]]</f>
        <v>600</v>
      </c>
      <c r="Q90" s="183">
        <f ca="1">TblMili[[#This Row],[Spies]]</f>
        <v>35</v>
      </c>
      <c r="R90" s="183">
        <f ca="1">TblMili[[#This Row],[Wizards]]</f>
        <v>35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9963</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0" s="124">
        <f ca="1">MAX(-5%*TblPop[[#This Row],[Peasants]]-TblPop[[#This Row],[Draft Growth]],MIN(OFFSET(TblPop[[#This Row],[Net max]],1,0)-TblPop[[#This Row],[Peasants]]-TblPop[[#This Row],[Military]]-TblPop[[#This Row],[Draft Growth]],TblPop[[#This Row],[Modded Birth]]-TblPop[[#This Row],[Draft Growth]]))</f>
        <v>-64</v>
      </c>
      <c r="X90" s="124">
        <f ca="1">ROUND(TblPop[[#This Row],[Raw Birth]]*(1+TblPop[[#This Row],[Growth]]),0)</f>
        <v>229</v>
      </c>
      <c r="Y90" s="124">
        <f ca="1">(TblPop[[#This Row],[Peasants]]-TblPop[[#This Row],[Draft Growth]])*raw_pop_growth</f>
        <v>190.5</v>
      </c>
      <c r="Z90" s="124">
        <f ca="1">IF(TblPop[[#This Row],[Military%]]&lt;TblMili[[#This Row],[Draftrate]],ROUND(TblPop[[#This Row],[Peasants]]*Constants!$B$53,0), 0)</f>
        <v>64</v>
      </c>
      <c r="AA90" s="184"/>
      <c r="AB90" s="185">
        <f ca="1">Overview!$I$16 + IF(Magic!AD90&gt;0,Constants!$F$77) + ROUND(6*(Construction!BM91+Construction!CK90)/IF(Explore!S91&gt;0,Construction!F91-20,Construction!F91),4) + tech_6_5_2*Techs!BJ90 + tech_8_4*Techs!BT90</f>
        <v>0.2</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44408.374999999789</v>
      </c>
      <c r="C91" s="124">
        <f ca="1">OFFSET(TblPop[[#This Row],[Peasants]],-1,0)+OFFSET(TblPop[[#This Row],[Net Peasant]],-1,0)+TblMili[[#This Row],[Release Draft]]</f>
        <v>6350</v>
      </c>
      <c r="D91" s="124">
        <f ca="1">TblMili[[#This Row],[Military]]</f>
        <v>3613</v>
      </c>
      <c r="E91" s="124">
        <f ca="1">TblMili[[#This Row],[Draftees]]</f>
        <v>1737</v>
      </c>
      <c r="F91" s="124">
        <f ca="1">TblPop[[#This Row],[Peasants]]+TblPop[[#This Row],[Military]]</f>
        <v>9963</v>
      </c>
      <c r="G91" s="180">
        <f ca="1">TblPop[[#This Row],[Military]]/TblPop[[#This Row],[Total]]</f>
        <v>0.3626417745658938</v>
      </c>
      <c r="H91" s="181">
        <f ca="1">MIN(TblPop[[#This Row],[Peasants]],TblPop[[#This Row],[Jobs]])</f>
        <v>6350</v>
      </c>
      <c r="I91" s="180">
        <f ca="1">MIN(OFFSET(TblPop[[#This Row],[Jobs]],1,0)/TblPop[[#This Row],[Peasants]],1)</f>
        <v>1</v>
      </c>
      <c r="J91" s="181">
        <f ca="1">SUM(TblConstr[[#This Row],[Tot Alc]:[Tot GT]],TblConstr[[#This Row],[Tot Shr]:[Tot Doc]],TblConstr[[#This Row],[Dest Alc]:[Dest GT]],TblConstr[[#This Row],[Dest Shr]:[Dest Doc]])*building_employment</f>
        <v>11040</v>
      </c>
      <c r="K91" s="182"/>
      <c r="L91" s="183">
        <f ca="1">TblPop[[#This Row],[Draftees]]</f>
        <v>1737</v>
      </c>
      <c r="M91" s="183">
        <f ca="1">TblMili[[#This Row],[Unit 1]]</f>
        <v>0</v>
      </c>
      <c r="N91" s="183">
        <f ca="1">TblMili[[#This Row],[Unit 2]]</f>
        <v>1081</v>
      </c>
      <c r="O91" s="183">
        <f ca="1">TblMili[[#This Row],[Unit 3]]</f>
        <v>125</v>
      </c>
      <c r="P91" s="183">
        <f ca="1">TblMili[[#This Row],[Unit 4]]</f>
        <v>600</v>
      </c>
      <c r="Q91" s="183">
        <f ca="1">TblMili[[#This Row],[Spies]]</f>
        <v>35</v>
      </c>
      <c r="R91" s="183">
        <f ca="1">TblMili[[#This Row],[Wizards]]</f>
        <v>35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9963</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1" s="124">
        <f ca="1">MAX(-5%*TblPop[[#This Row],[Peasants]]-TblPop[[#This Row],[Draft Growth]],MIN(OFFSET(TblPop[[#This Row],[Net max]],1,0)-TblPop[[#This Row],[Peasants]]-TblPop[[#This Row],[Military]]-TblPop[[#This Row],[Draft Growth]],TblPop[[#This Row],[Modded Birth]]-TblPop[[#This Row],[Draft Growth]]))</f>
        <v>-64</v>
      </c>
      <c r="X91" s="124">
        <f ca="1">ROUND(TblPop[[#This Row],[Raw Birth]]*(1+TblPop[[#This Row],[Growth]]),0)</f>
        <v>226</v>
      </c>
      <c r="Y91" s="124">
        <f ca="1">(TblPop[[#This Row],[Peasants]]-TblPop[[#This Row],[Draft Growth]])*raw_pop_growth</f>
        <v>188.57999999999998</v>
      </c>
      <c r="Z91" s="124">
        <f ca="1">IF(TblPop[[#This Row],[Military%]]&lt;TblMili[[#This Row],[Draftrate]],ROUND(TblPop[[#This Row],[Peasants]]*Constants!$B$53,0), 0)</f>
        <v>64</v>
      </c>
      <c r="AA91" s="184"/>
      <c r="AB91" s="185">
        <f ca="1">Overview!$I$16 + IF(Magic!AD91&gt;0,Constants!$F$77) + ROUND(6*(Construction!BM92+Construction!CK91)/IF(Explore!S92&gt;0,Construction!F92-20,Construction!F92),4) + tech_6_5_2*Techs!BJ91 + tech_8_4*Techs!BT91</f>
        <v>0.2</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44408.416666666453</v>
      </c>
      <c r="C92" s="124">
        <f ca="1">OFFSET(TblPop[[#This Row],[Peasants]],-1,0)+OFFSET(TblPop[[#This Row],[Net Peasant]],-1,0)+TblMili[[#This Row],[Release Draft]]</f>
        <v>6286</v>
      </c>
      <c r="D92" s="124">
        <f ca="1">TblMili[[#This Row],[Military]]</f>
        <v>3677</v>
      </c>
      <c r="E92" s="124">
        <f ca="1">TblMili[[#This Row],[Draftees]]</f>
        <v>1801</v>
      </c>
      <c r="F92" s="124">
        <f ca="1">TblPop[[#This Row],[Peasants]]+TblPop[[#This Row],[Military]]</f>
        <v>9963</v>
      </c>
      <c r="G92" s="180">
        <f ca="1">TblPop[[#This Row],[Military]]/TblPop[[#This Row],[Total]]</f>
        <v>0.36906554250727691</v>
      </c>
      <c r="H92" s="181">
        <f ca="1">MIN(TblPop[[#This Row],[Peasants]],TblPop[[#This Row],[Jobs]])</f>
        <v>6286</v>
      </c>
      <c r="I92" s="180">
        <f ca="1">MIN(OFFSET(TblPop[[#This Row],[Jobs]],1,0)/TblPop[[#This Row],[Peasants]],1)</f>
        <v>1</v>
      </c>
      <c r="J92" s="181">
        <f ca="1">SUM(TblConstr[[#This Row],[Tot Alc]:[Tot GT]],TblConstr[[#This Row],[Tot Shr]:[Tot Doc]],TblConstr[[#This Row],[Dest Alc]:[Dest GT]],TblConstr[[#This Row],[Dest Shr]:[Dest Doc]])*building_employment</f>
        <v>11040</v>
      </c>
      <c r="K92" s="182"/>
      <c r="L92" s="183">
        <f ca="1">TblPop[[#This Row],[Draftees]]</f>
        <v>1801</v>
      </c>
      <c r="M92" s="183">
        <f ca="1">TblMili[[#This Row],[Unit 1]]</f>
        <v>0</v>
      </c>
      <c r="N92" s="183">
        <f ca="1">TblMili[[#This Row],[Unit 2]]</f>
        <v>1081</v>
      </c>
      <c r="O92" s="183">
        <f ca="1">TblMili[[#This Row],[Unit 3]]</f>
        <v>125</v>
      </c>
      <c r="P92" s="183">
        <f ca="1">TblMili[[#This Row],[Unit 4]]</f>
        <v>600</v>
      </c>
      <c r="Q92" s="183">
        <f ca="1">TblMili[[#This Row],[Spies]]</f>
        <v>35</v>
      </c>
      <c r="R92" s="183">
        <f ca="1">TblMili[[#This Row],[Wizards]]</f>
        <v>35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9963</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2" s="124">
        <f ca="1">MAX(-5%*TblPop[[#This Row],[Peasants]]-TblPop[[#This Row],[Draft Growth]],MIN(OFFSET(TblPop[[#This Row],[Net max]],1,0)-TblPop[[#This Row],[Peasants]]-TblPop[[#This Row],[Military]]-TblPop[[#This Row],[Draft Growth]],TblPop[[#This Row],[Modded Birth]]-TblPop[[#This Row],[Draft Growth]]))</f>
        <v>-63</v>
      </c>
      <c r="X92" s="124">
        <f ca="1">ROUND(TblPop[[#This Row],[Raw Birth]]*(1+TblPop[[#This Row],[Growth]]),0)</f>
        <v>224</v>
      </c>
      <c r="Y92" s="124">
        <f ca="1">(TblPop[[#This Row],[Peasants]]-TblPop[[#This Row],[Draft Growth]])*raw_pop_growth</f>
        <v>186.69</v>
      </c>
      <c r="Z92" s="124">
        <f ca="1">IF(TblPop[[#This Row],[Military%]]&lt;TblMili[[#This Row],[Draftrate]],ROUND(TblPop[[#This Row],[Peasants]]*Constants!$B$53,0), 0)</f>
        <v>63</v>
      </c>
      <c r="AA92" s="184"/>
      <c r="AB92" s="185">
        <f ca="1">Overview!$I$16 + IF(Magic!AD92&gt;0,Constants!$F$77) + ROUND(6*(Construction!BM93+Construction!CK92)/IF(Explore!S93&gt;0,Construction!F93-20,Construction!F93),4) + tech_6_5_2*Techs!BJ92 + tech_8_4*Techs!BT92</f>
        <v>0.2</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44408.458333333117</v>
      </c>
      <c r="C93" s="124">
        <f ca="1">OFFSET(TblPop[[#This Row],[Peasants]],-1,0)+OFFSET(TblPop[[#This Row],[Net Peasant]],-1,0)+TblMili[[#This Row],[Release Draft]]</f>
        <v>6223</v>
      </c>
      <c r="D93" s="124">
        <f ca="1">TblMili[[#This Row],[Military]]</f>
        <v>3740</v>
      </c>
      <c r="E93" s="124">
        <f ca="1">TblMili[[#This Row],[Draftees]]</f>
        <v>1864</v>
      </c>
      <c r="F93" s="124">
        <f ca="1">TblPop[[#This Row],[Peasants]]+TblPop[[#This Row],[Military]]</f>
        <v>9963</v>
      </c>
      <c r="G93" s="180">
        <f ca="1">TblPop[[#This Row],[Military]]/TblPop[[#This Row],[Total]]</f>
        <v>0.37538893907457593</v>
      </c>
      <c r="H93" s="181">
        <f ca="1">MIN(TblPop[[#This Row],[Peasants]],TblPop[[#This Row],[Jobs]])</f>
        <v>6223</v>
      </c>
      <c r="I93" s="180">
        <f ca="1">MIN(OFFSET(TblPop[[#This Row],[Jobs]],1,0)/TblPop[[#This Row],[Peasants]],1)</f>
        <v>1</v>
      </c>
      <c r="J93" s="181">
        <f ca="1">SUM(TblConstr[[#This Row],[Tot Alc]:[Tot GT]],TblConstr[[#This Row],[Tot Shr]:[Tot Doc]],TblConstr[[#This Row],[Dest Alc]:[Dest GT]],TblConstr[[#This Row],[Dest Shr]:[Dest Doc]])*building_employment</f>
        <v>11040</v>
      </c>
      <c r="K93" s="182"/>
      <c r="L93" s="183">
        <f ca="1">TblPop[[#This Row],[Draftees]]</f>
        <v>1864</v>
      </c>
      <c r="M93" s="183">
        <f ca="1">TblMili[[#This Row],[Unit 1]]</f>
        <v>0</v>
      </c>
      <c r="N93" s="183">
        <f ca="1">TblMili[[#This Row],[Unit 2]]</f>
        <v>1081</v>
      </c>
      <c r="O93" s="183">
        <f ca="1">TblMili[[#This Row],[Unit 3]]</f>
        <v>125</v>
      </c>
      <c r="P93" s="183">
        <f ca="1">TblMili[[#This Row],[Unit 4]]</f>
        <v>600</v>
      </c>
      <c r="Q93" s="183">
        <f ca="1">TblMili[[#This Row],[Spies]]</f>
        <v>35</v>
      </c>
      <c r="R93" s="183">
        <f ca="1">TblMili[[#This Row],[Wizards]]</f>
        <v>35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9963</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3" s="124">
        <f ca="1">MAX(-5%*TblPop[[#This Row],[Peasants]]-TblPop[[#This Row],[Draft Growth]],MIN(OFFSET(TblPop[[#This Row],[Net max]],1,0)-TblPop[[#This Row],[Peasants]]-TblPop[[#This Row],[Military]]-TblPop[[#This Row],[Draft Growth]],TblPop[[#This Row],[Modded Birth]]-TblPop[[#This Row],[Draft Growth]]))</f>
        <v>-62</v>
      </c>
      <c r="X93" s="124">
        <f ca="1">ROUND(TblPop[[#This Row],[Raw Birth]]*(1+TblPop[[#This Row],[Growth]]),0)</f>
        <v>222</v>
      </c>
      <c r="Y93" s="124">
        <f ca="1">(TblPop[[#This Row],[Peasants]]-TblPop[[#This Row],[Draft Growth]])*raw_pop_growth</f>
        <v>184.82999999999998</v>
      </c>
      <c r="Z93" s="124">
        <f ca="1">IF(TblPop[[#This Row],[Military%]]&lt;TblMili[[#This Row],[Draftrate]],ROUND(TblPop[[#This Row],[Peasants]]*Constants!$B$53,0), 0)</f>
        <v>62</v>
      </c>
      <c r="AA93" s="184"/>
      <c r="AB93" s="185">
        <f ca="1">Overview!$I$16 + IF(Magic!AD93&gt;0,Constants!$F$77) + ROUND(6*(Construction!BM94+Construction!CK93)/IF(Explore!S94&gt;0,Construction!F94-20,Construction!F94),4) + tech_6_5_2*Techs!BJ93 + tech_8_4*Techs!BT93</f>
        <v>0.2</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44408.499999999782</v>
      </c>
      <c r="C94" s="124">
        <f ca="1">OFFSET(TblPop[[#This Row],[Peasants]],-1,0)+OFFSET(TblPop[[#This Row],[Net Peasant]],-1,0)+TblMili[[#This Row],[Release Draft]]</f>
        <v>6161</v>
      </c>
      <c r="D94" s="124">
        <f ca="1">TblMili[[#This Row],[Military]]</f>
        <v>3802</v>
      </c>
      <c r="E94" s="124">
        <f ca="1">TblMili[[#This Row],[Draftees]]</f>
        <v>1926</v>
      </c>
      <c r="F94" s="124">
        <f ca="1">TblPop[[#This Row],[Peasants]]+TblPop[[#This Row],[Military]]</f>
        <v>9963</v>
      </c>
      <c r="G94" s="180">
        <f ca="1">TblPop[[#This Row],[Military]]/TblPop[[#This Row],[Total]]</f>
        <v>0.38161196426779082</v>
      </c>
      <c r="H94" s="181">
        <f ca="1">MIN(TblPop[[#This Row],[Peasants]],TblPop[[#This Row],[Jobs]])</f>
        <v>6161</v>
      </c>
      <c r="I94" s="180">
        <f ca="1">MIN(OFFSET(TblPop[[#This Row],[Jobs]],1,0)/TblPop[[#This Row],[Peasants]],1)</f>
        <v>1</v>
      </c>
      <c r="J94" s="181">
        <f ca="1">SUM(TblConstr[[#This Row],[Tot Alc]:[Tot GT]],TblConstr[[#This Row],[Tot Shr]:[Tot Doc]],TblConstr[[#This Row],[Dest Alc]:[Dest GT]],TblConstr[[#This Row],[Dest Shr]:[Dest Doc]])*building_employment</f>
        <v>11040</v>
      </c>
      <c r="K94" s="182"/>
      <c r="L94" s="183">
        <f ca="1">TblPop[[#This Row],[Draftees]]</f>
        <v>1926</v>
      </c>
      <c r="M94" s="183">
        <f ca="1">TblMili[[#This Row],[Unit 1]]</f>
        <v>0</v>
      </c>
      <c r="N94" s="183">
        <f ca="1">TblMili[[#This Row],[Unit 2]]</f>
        <v>1081</v>
      </c>
      <c r="O94" s="183">
        <f ca="1">TblMili[[#This Row],[Unit 3]]</f>
        <v>125</v>
      </c>
      <c r="P94" s="183">
        <f ca="1">TblMili[[#This Row],[Unit 4]]</f>
        <v>600</v>
      </c>
      <c r="Q94" s="183">
        <f ca="1">TblMili[[#This Row],[Spies]]</f>
        <v>35</v>
      </c>
      <c r="R94" s="183">
        <f ca="1">TblMili[[#This Row],[Wizards]]</f>
        <v>35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9963</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4" s="124">
        <f ca="1">MAX(-5%*TblPop[[#This Row],[Peasants]]-TblPop[[#This Row],[Draft Growth]],MIN(OFFSET(TblPop[[#This Row],[Net max]],1,0)-TblPop[[#This Row],[Peasants]]-TblPop[[#This Row],[Military]]-TblPop[[#This Row],[Draft Growth]],TblPop[[#This Row],[Modded Birth]]-TblPop[[#This Row],[Draft Growth]]))</f>
        <v>-62</v>
      </c>
      <c r="X94" s="124">
        <f ca="1">ROUND(TblPop[[#This Row],[Raw Birth]]*(1+TblPop[[#This Row],[Growth]]),0)</f>
        <v>220</v>
      </c>
      <c r="Y94" s="124">
        <f ca="1">(TblPop[[#This Row],[Peasants]]-TblPop[[#This Row],[Draft Growth]])*raw_pop_growth</f>
        <v>182.97</v>
      </c>
      <c r="Z94" s="124">
        <f ca="1">IF(TblPop[[#This Row],[Military%]]&lt;TblMili[[#This Row],[Draftrate]],ROUND(TblPop[[#This Row],[Peasants]]*Constants!$B$53,0), 0)</f>
        <v>62</v>
      </c>
      <c r="AA94" s="184"/>
      <c r="AB94" s="185">
        <f ca="1">Overview!$I$16 + IF(Magic!AD94&gt;0,Constants!$F$77) + ROUND(6*(Construction!BM95+Construction!CK94)/IF(Explore!S95&gt;0,Construction!F95-20,Construction!F95),4) + tech_6_5_2*Techs!BJ94 + tech_8_4*Techs!BT94</f>
        <v>0.2</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44408.541666666446</v>
      </c>
      <c r="C95" s="124">
        <f ca="1">OFFSET(TblPop[[#This Row],[Peasants]],-1,0)+OFFSET(TblPop[[#This Row],[Net Peasant]],-1,0)+TblMili[[#This Row],[Release Draft]]</f>
        <v>6099</v>
      </c>
      <c r="D95" s="124">
        <f ca="1">TblMili[[#This Row],[Military]]</f>
        <v>3864</v>
      </c>
      <c r="E95" s="124">
        <f ca="1">TblMili[[#This Row],[Draftees]]</f>
        <v>1988</v>
      </c>
      <c r="F95" s="124">
        <f ca="1">TblPop[[#This Row],[Peasants]]+TblPop[[#This Row],[Military]]</f>
        <v>9963</v>
      </c>
      <c r="G95" s="180">
        <f ca="1">TblPop[[#This Row],[Military]]/TblPop[[#This Row],[Total]]</f>
        <v>0.3878349894610057</v>
      </c>
      <c r="H95" s="181">
        <f ca="1">MIN(TblPop[[#This Row],[Peasants]],TblPop[[#This Row],[Jobs]])</f>
        <v>6099</v>
      </c>
      <c r="I95" s="180">
        <f ca="1">MIN(OFFSET(TblPop[[#This Row],[Jobs]],1,0)/TblPop[[#This Row],[Peasants]],1)</f>
        <v>1</v>
      </c>
      <c r="J95" s="181">
        <f ca="1">SUM(TblConstr[[#This Row],[Tot Alc]:[Tot GT]],TblConstr[[#This Row],[Tot Shr]:[Tot Doc]],TblConstr[[#This Row],[Dest Alc]:[Dest GT]],TblConstr[[#This Row],[Dest Shr]:[Dest Doc]])*building_employment</f>
        <v>11040</v>
      </c>
      <c r="K95" s="182"/>
      <c r="L95" s="183">
        <f ca="1">TblPop[[#This Row],[Draftees]]</f>
        <v>1988</v>
      </c>
      <c r="M95" s="183">
        <f ca="1">TblMili[[#This Row],[Unit 1]]</f>
        <v>0</v>
      </c>
      <c r="N95" s="183">
        <f ca="1">TblMili[[#This Row],[Unit 2]]</f>
        <v>1081</v>
      </c>
      <c r="O95" s="183">
        <f ca="1">TblMili[[#This Row],[Unit 3]]</f>
        <v>125</v>
      </c>
      <c r="P95" s="183">
        <f ca="1">TblMili[[#This Row],[Unit 4]]</f>
        <v>600</v>
      </c>
      <c r="Q95" s="183">
        <f ca="1">TblMili[[#This Row],[Spies]]</f>
        <v>35</v>
      </c>
      <c r="R95" s="183">
        <f ca="1">TblMili[[#This Row],[Wizards]]</f>
        <v>35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9963</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5" s="124">
        <f ca="1">MAX(-5%*TblPop[[#This Row],[Peasants]]-TblPop[[#This Row],[Draft Growth]],MIN(OFFSET(TblPop[[#This Row],[Net max]],1,0)-TblPop[[#This Row],[Peasants]]-TblPop[[#This Row],[Military]]-TblPop[[#This Row],[Draft Growth]],TblPop[[#This Row],[Modded Birth]]-TblPop[[#This Row],[Draft Growth]]))</f>
        <v>-61</v>
      </c>
      <c r="X95" s="124">
        <f ca="1">ROUND(TblPop[[#This Row],[Raw Birth]]*(1+TblPop[[#This Row],[Growth]]),0)</f>
        <v>217</v>
      </c>
      <c r="Y95" s="124">
        <f ca="1">(TblPop[[#This Row],[Peasants]]-TblPop[[#This Row],[Draft Growth]])*raw_pop_growth</f>
        <v>181.14</v>
      </c>
      <c r="Z95" s="124">
        <f ca="1">IF(TblPop[[#This Row],[Military%]]&lt;TblMili[[#This Row],[Draftrate]],ROUND(TblPop[[#This Row],[Peasants]]*Constants!$B$53,0), 0)</f>
        <v>61</v>
      </c>
      <c r="AA95" s="184"/>
      <c r="AB95" s="185">
        <f ca="1">Overview!$I$16 + IF(Magic!AD95&gt;0,Constants!$F$77) + ROUND(6*(Construction!BM96+Construction!CK95)/IF(Explore!S96&gt;0,Construction!F96-20,Construction!F96),4) + tech_6_5_2*Techs!BJ95 + tech_8_4*Techs!BT95</f>
        <v>0.2</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44408.58333333311</v>
      </c>
      <c r="C96" s="124">
        <f ca="1">OFFSET(TblPop[[#This Row],[Peasants]],-1,0)+OFFSET(TblPop[[#This Row],[Net Peasant]],-1,0)+TblMili[[#This Row],[Release Draft]]</f>
        <v>6038</v>
      </c>
      <c r="D96" s="124">
        <f ca="1">TblMili[[#This Row],[Military]]</f>
        <v>3925</v>
      </c>
      <c r="E96" s="124">
        <f ca="1">TblMili[[#This Row],[Draftees]]</f>
        <v>2049</v>
      </c>
      <c r="F96" s="124">
        <f ca="1">TblPop[[#This Row],[Peasants]]+TblPop[[#This Row],[Military]]</f>
        <v>9963</v>
      </c>
      <c r="G96" s="180">
        <f ca="1">TblPop[[#This Row],[Military]]/TblPop[[#This Row],[Total]]</f>
        <v>0.39395764328013649</v>
      </c>
      <c r="H96" s="181">
        <f ca="1">MIN(TblPop[[#This Row],[Peasants]],TblPop[[#This Row],[Jobs]])</f>
        <v>6038</v>
      </c>
      <c r="I96" s="180">
        <f ca="1">MIN(OFFSET(TblPop[[#This Row],[Jobs]],1,0)/TblPop[[#This Row],[Peasants]],1)</f>
        <v>1</v>
      </c>
      <c r="J96" s="181">
        <f ca="1">SUM(TblConstr[[#This Row],[Tot Alc]:[Tot GT]],TblConstr[[#This Row],[Tot Shr]:[Tot Doc]],TblConstr[[#This Row],[Dest Alc]:[Dest GT]],TblConstr[[#This Row],[Dest Shr]:[Dest Doc]])*building_employment</f>
        <v>11040</v>
      </c>
      <c r="K96" s="182"/>
      <c r="L96" s="183">
        <f ca="1">TblPop[[#This Row],[Draftees]]</f>
        <v>2049</v>
      </c>
      <c r="M96" s="183">
        <f ca="1">TblMili[[#This Row],[Unit 1]]</f>
        <v>0</v>
      </c>
      <c r="N96" s="183">
        <f ca="1">TblMili[[#This Row],[Unit 2]]</f>
        <v>1081</v>
      </c>
      <c r="O96" s="183">
        <f ca="1">TblMili[[#This Row],[Unit 3]]</f>
        <v>125</v>
      </c>
      <c r="P96" s="183">
        <f ca="1">TblMili[[#This Row],[Unit 4]]</f>
        <v>600</v>
      </c>
      <c r="Q96" s="183">
        <f ca="1">TblMili[[#This Row],[Spies]]</f>
        <v>35</v>
      </c>
      <c r="R96" s="183">
        <f ca="1">TblMili[[#This Row],[Wizards]]</f>
        <v>35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9963</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6" s="124">
        <f ca="1">MAX(-5%*TblPop[[#This Row],[Peasants]]-TblPop[[#This Row],[Draft Growth]],MIN(OFFSET(TblPop[[#This Row],[Net max]],1,0)-TblPop[[#This Row],[Peasants]]-TblPop[[#This Row],[Military]]-TblPop[[#This Row],[Draft Growth]],TblPop[[#This Row],[Modded Birth]]-TblPop[[#This Row],[Draft Growth]]))</f>
        <v>-60</v>
      </c>
      <c r="X96" s="124">
        <f ca="1">ROUND(TblPop[[#This Row],[Raw Birth]]*(1+TblPop[[#This Row],[Growth]]),0)</f>
        <v>215</v>
      </c>
      <c r="Y96" s="124">
        <f ca="1">(TblPop[[#This Row],[Peasants]]-TblPop[[#This Row],[Draft Growth]])*raw_pop_growth</f>
        <v>179.34</v>
      </c>
      <c r="Z96" s="124">
        <f ca="1">IF(TblPop[[#This Row],[Military%]]&lt;TblMili[[#This Row],[Draftrate]],ROUND(TblPop[[#This Row],[Peasants]]*Constants!$B$53,0), 0)</f>
        <v>60</v>
      </c>
      <c r="AA96" s="184"/>
      <c r="AB96" s="185">
        <f ca="1">Overview!$I$16 + IF(Magic!AD96&gt;0,Constants!$F$77) + ROUND(6*(Construction!BM97+Construction!CK96)/IF(Explore!S97&gt;0,Construction!F97-20,Construction!F97),4) + tech_6_5_2*Techs!BJ96 + tech_8_4*Techs!BT96</f>
        <v>0.2</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44408.624999999774</v>
      </c>
      <c r="C97" s="124">
        <f ca="1">OFFSET(TblPop[[#This Row],[Peasants]],-1,0)+OFFSET(TblPop[[#This Row],[Net Peasant]],-1,0)+TblMili[[#This Row],[Release Draft]]</f>
        <v>5978</v>
      </c>
      <c r="D97" s="124">
        <f ca="1">TblMili[[#This Row],[Military]]</f>
        <v>3985</v>
      </c>
      <c r="E97" s="124">
        <f ca="1">TblMili[[#This Row],[Draftees]]</f>
        <v>2109</v>
      </c>
      <c r="F97" s="124">
        <f ca="1">TblPop[[#This Row],[Peasants]]+TblPop[[#This Row],[Military]]</f>
        <v>9963</v>
      </c>
      <c r="G97" s="180">
        <f ca="1">TblPop[[#This Row],[Military]]/TblPop[[#This Row],[Total]]</f>
        <v>0.39997992572518321</v>
      </c>
      <c r="H97" s="181">
        <f ca="1">MIN(TblPop[[#This Row],[Peasants]],TblPop[[#This Row],[Jobs]])</f>
        <v>5978</v>
      </c>
      <c r="I97" s="180">
        <f ca="1">MIN(OFFSET(TblPop[[#This Row],[Jobs]],1,0)/TblPop[[#This Row],[Peasants]],1)</f>
        <v>1</v>
      </c>
      <c r="J97" s="181">
        <f ca="1">SUM(TblConstr[[#This Row],[Tot Alc]:[Tot GT]],TblConstr[[#This Row],[Tot Shr]:[Tot Doc]],TblConstr[[#This Row],[Dest Alc]:[Dest GT]],TblConstr[[#This Row],[Dest Shr]:[Dest Doc]])*building_employment</f>
        <v>11040</v>
      </c>
      <c r="K97" s="182"/>
      <c r="L97" s="183">
        <f ca="1">TblPop[[#This Row],[Draftees]]</f>
        <v>2109</v>
      </c>
      <c r="M97" s="183">
        <f ca="1">TblMili[[#This Row],[Unit 1]]</f>
        <v>0</v>
      </c>
      <c r="N97" s="183">
        <f ca="1">TblMili[[#This Row],[Unit 2]]</f>
        <v>1081</v>
      </c>
      <c r="O97" s="183">
        <f ca="1">TblMili[[#This Row],[Unit 3]]</f>
        <v>125</v>
      </c>
      <c r="P97" s="183">
        <f ca="1">TblMili[[#This Row],[Unit 4]]</f>
        <v>600</v>
      </c>
      <c r="Q97" s="183">
        <f ca="1">TblMili[[#This Row],[Spies]]</f>
        <v>35</v>
      </c>
      <c r="R97" s="183">
        <f ca="1">TblMili[[#This Row],[Wizards]]</f>
        <v>35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9963</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7" s="124">
        <f ca="1">MAX(-5%*TblPop[[#This Row],[Peasants]]-TblPop[[#This Row],[Draft Growth]],MIN(OFFSET(TblPop[[#This Row],[Net max]],1,0)-TblPop[[#This Row],[Peasants]]-TblPop[[#This Row],[Military]]-TblPop[[#This Row],[Draft Growth]],TblPop[[#This Row],[Modded Birth]]-TblPop[[#This Row],[Draft Growth]]))</f>
        <v>-60</v>
      </c>
      <c r="X97" s="124">
        <f ca="1">ROUND(TblPop[[#This Row],[Raw Birth]]*(1+TblPop[[#This Row],[Growth]]),0)</f>
        <v>213</v>
      </c>
      <c r="Y97" s="124">
        <f ca="1">(TblPop[[#This Row],[Peasants]]-TblPop[[#This Row],[Draft Growth]])*raw_pop_growth</f>
        <v>177.54</v>
      </c>
      <c r="Z97" s="124">
        <f ca="1">IF(TblPop[[#This Row],[Military%]]&lt;TblMili[[#This Row],[Draftrate]],ROUND(TblPop[[#This Row],[Peasants]]*Constants!$B$53,0), 0)</f>
        <v>60</v>
      </c>
      <c r="AA97" s="184"/>
      <c r="AB97" s="185">
        <f ca="1">Overview!$I$16 + IF(Magic!AD97&gt;0,Constants!$F$77) + ROUND(6*(Construction!BM98+Construction!CK97)/IF(Explore!S98&gt;0,Construction!F98-20,Construction!F98),4) + tech_6_5_2*Techs!BJ97 + tech_8_4*Techs!BT97</f>
        <v>0.2</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44408.666666666439</v>
      </c>
      <c r="C98" s="124">
        <f ca="1">OFFSET(TblPop[[#This Row],[Peasants]],-1,0)+OFFSET(TblPop[[#This Row],[Net Peasant]],-1,0)+TblMili[[#This Row],[Release Draft]]</f>
        <v>5918</v>
      </c>
      <c r="D98" s="124">
        <f ca="1">TblMili[[#This Row],[Military]]</f>
        <v>4045</v>
      </c>
      <c r="E98" s="124">
        <f ca="1">TblMili[[#This Row],[Draftees]]</f>
        <v>2169</v>
      </c>
      <c r="F98" s="124">
        <f ca="1">TblPop[[#This Row],[Peasants]]+TblPop[[#This Row],[Military]]</f>
        <v>9963</v>
      </c>
      <c r="G98" s="180">
        <f ca="1">TblPop[[#This Row],[Military]]/TblPop[[#This Row],[Total]]</f>
        <v>0.40600220817022986</v>
      </c>
      <c r="H98" s="181">
        <f ca="1">MIN(TblPop[[#This Row],[Peasants]],TblPop[[#This Row],[Jobs]])</f>
        <v>5918</v>
      </c>
      <c r="I98" s="180">
        <f ca="1">MIN(OFFSET(TblPop[[#This Row],[Jobs]],1,0)/TblPop[[#This Row],[Peasants]],1)</f>
        <v>1</v>
      </c>
      <c r="J98" s="181">
        <f ca="1">SUM(TblConstr[[#This Row],[Tot Alc]:[Tot GT]],TblConstr[[#This Row],[Tot Shr]:[Tot Doc]],TblConstr[[#This Row],[Dest Alc]:[Dest GT]],TblConstr[[#This Row],[Dest Shr]:[Dest Doc]])*building_employment</f>
        <v>11040</v>
      </c>
      <c r="K98" s="182"/>
      <c r="L98" s="183">
        <f ca="1">TblPop[[#This Row],[Draftees]]</f>
        <v>2169</v>
      </c>
      <c r="M98" s="183">
        <f ca="1">TblMili[[#This Row],[Unit 1]]</f>
        <v>0</v>
      </c>
      <c r="N98" s="183">
        <f ca="1">TblMili[[#This Row],[Unit 2]]</f>
        <v>1081</v>
      </c>
      <c r="O98" s="183">
        <f ca="1">TblMili[[#This Row],[Unit 3]]</f>
        <v>125</v>
      </c>
      <c r="P98" s="183">
        <f ca="1">TblMili[[#This Row],[Unit 4]]</f>
        <v>600</v>
      </c>
      <c r="Q98" s="183">
        <f ca="1">TblMili[[#This Row],[Spies]]</f>
        <v>35</v>
      </c>
      <c r="R98" s="183">
        <f ca="1">TblMili[[#This Row],[Wizards]]</f>
        <v>35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9963</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8" s="124">
        <f ca="1">MAX(-5%*TblPop[[#This Row],[Peasants]]-TblPop[[#This Row],[Draft Growth]],MIN(OFFSET(TblPop[[#This Row],[Net max]],1,0)-TblPop[[#This Row],[Peasants]]-TblPop[[#This Row],[Military]]-TblPop[[#This Row],[Draft Growth]],TblPop[[#This Row],[Modded Birth]]-TblPop[[#This Row],[Draft Growth]]))</f>
        <v>-59</v>
      </c>
      <c r="X98" s="124">
        <f ca="1">ROUND(TblPop[[#This Row],[Raw Birth]]*(1+TblPop[[#This Row],[Growth]]),0)</f>
        <v>211</v>
      </c>
      <c r="Y98" s="124">
        <f ca="1">(TblPop[[#This Row],[Peasants]]-TblPop[[#This Row],[Draft Growth]])*raw_pop_growth</f>
        <v>175.76999999999998</v>
      </c>
      <c r="Z98" s="124">
        <f ca="1">IF(TblPop[[#This Row],[Military%]]&lt;TblMili[[#This Row],[Draftrate]],ROUND(TblPop[[#This Row],[Peasants]]*Constants!$B$53,0), 0)</f>
        <v>59</v>
      </c>
      <c r="AA98" s="184"/>
      <c r="AB98" s="185">
        <f ca="1">Overview!$I$16 + IF(Magic!AD98&gt;0,Constants!$F$77) + ROUND(6*(Construction!BM99+Construction!CK98)/IF(Explore!S99&gt;0,Construction!F99-20,Construction!F99),4) + tech_6_5_2*Techs!BJ98 + tech_8_4*Techs!BT98</f>
        <v>0.2</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44408.708333333103</v>
      </c>
      <c r="C99" s="124">
        <f ca="1">OFFSET(TblPop[[#This Row],[Peasants]],-1,0)+OFFSET(TblPop[[#This Row],[Net Peasant]],-1,0)+TblMili[[#This Row],[Release Draft]]</f>
        <v>5859</v>
      </c>
      <c r="D99" s="124">
        <f ca="1">TblMili[[#This Row],[Military]]</f>
        <v>4104</v>
      </c>
      <c r="E99" s="124">
        <f ca="1">TblMili[[#This Row],[Draftees]]</f>
        <v>2228</v>
      </c>
      <c r="F99" s="124">
        <f ca="1">TblPop[[#This Row],[Peasants]]+TblPop[[#This Row],[Military]]</f>
        <v>9963</v>
      </c>
      <c r="G99" s="180">
        <f ca="1">TblPop[[#This Row],[Military]]/TblPop[[#This Row],[Total]]</f>
        <v>0.41192411924119243</v>
      </c>
      <c r="H99" s="181">
        <f ca="1">MIN(TblPop[[#This Row],[Peasants]],TblPop[[#This Row],[Jobs]])</f>
        <v>5859</v>
      </c>
      <c r="I99" s="180">
        <f ca="1">MIN(OFFSET(TblPop[[#This Row],[Jobs]],1,0)/TblPop[[#This Row],[Peasants]],1)</f>
        <v>1</v>
      </c>
      <c r="J99" s="181">
        <f ca="1">SUM(TblConstr[[#This Row],[Tot Alc]:[Tot GT]],TblConstr[[#This Row],[Tot Shr]:[Tot Doc]],TblConstr[[#This Row],[Dest Alc]:[Dest GT]],TblConstr[[#This Row],[Dest Shr]:[Dest Doc]])*building_employment</f>
        <v>11040</v>
      </c>
      <c r="K99" s="182"/>
      <c r="L99" s="183">
        <f ca="1">TblPop[[#This Row],[Draftees]]</f>
        <v>2228</v>
      </c>
      <c r="M99" s="183">
        <f ca="1">TblMili[[#This Row],[Unit 1]]</f>
        <v>0</v>
      </c>
      <c r="N99" s="183">
        <f ca="1">TblMili[[#This Row],[Unit 2]]</f>
        <v>1081</v>
      </c>
      <c r="O99" s="183">
        <f ca="1">TblMili[[#This Row],[Unit 3]]</f>
        <v>125</v>
      </c>
      <c r="P99" s="183">
        <f ca="1">TblMili[[#This Row],[Unit 4]]</f>
        <v>600</v>
      </c>
      <c r="Q99" s="183">
        <f ca="1">TblMili[[#This Row],[Spies]]</f>
        <v>35</v>
      </c>
      <c r="R99" s="183">
        <f ca="1">TblMili[[#This Row],[Wizards]]</f>
        <v>35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9963</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9" s="124">
        <f ca="1">MAX(-5%*TblPop[[#This Row],[Peasants]]-TblPop[[#This Row],[Draft Growth]],MIN(OFFSET(TblPop[[#This Row],[Net max]],1,0)-TblPop[[#This Row],[Peasants]]-TblPop[[#This Row],[Military]]-TblPop[[#This Row],[Draft Growth]],TblPop[[#This Row],[Modded Birth]]-TblPop[[#This Row],[Draft Growth]]))</f>
        <v>-59</v>
      </c>
      <c r="X99" s="124">
        <f ca="1">ROUND(TblPop[[#This Row],[Raw Birth]]*(1+TblPop[[#This Row],[Growth]]),0)</f>
        <v>209</v>
      </c>
      <c r="Y99" s="124">
        <f ca="1">(TblPop[[#This Row],[Peasants]]-TblPop[[#This Row],[Draft Growth]])*raw_pop_growth</f>
        <v>174</v>
      </c>
      <c r="Z99" s="124">
        <f ca="1">IF(TblPop[[#This Row],[Military%]]&lt;TblMili[[#This Row],[Draftrate]],ROUND(TblPop[[#This Row],[Peasants]]*Constants!$B$53,0), 0)</f>
        <v>59</v>
      </c>
      <c r="AA99" s="184"/>
      <c r="AB99" s="185">
        <f ca="1">Overview!$I$16 + IF(Magic!AD99&gt;0,Constants!$F$77) + ROUND(6*(Construction!BM100+Construction!CK99)/IF(Explore!S100&gt;0,Construction!F100-20,Construction!F100),4) + tech_6_5_2*Techs!BJ99 + tech_8_4*Techs!BT99</f>
        <v>0.2</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44408.749999999767</v>
      </c>
      <c r="C100" s="124">
        <f ca="1">OFFSET(TblPop[[#This Row],[Peasants]],-1,0)+OFFSET(TblPop[[#This Row],[Net Peasant]],-1,0)+TblMili[[#This Row],[Release Draft]]</f>
        <v>5800</v>
      </c>
      <c r="D100" s="124">
        <f ca="1">TblMili[[#This Row],[Military]]</f>
        <v>4163</v>
      </c>
      <c r="E100" s="124">
        <f ca="1">TblMili[[#This Row],[Draftees]]</f>
        <v>2287</v>
      </c>
      <c r="F100" s="124">
        <f ca="1">TblPop[[#This Row],[Peasants]]+TblPop[[#This Row],[Military]]</f>
        <v>9963</v>
      </c>
      <c r="G100" s="180">
        <f ca="1">TblPop[[#This Row],[Military]]/TblPop[[#This Row],[Total]]</f>
        <v>0.41784603031215495</v>
      </c>
      <c r="H100" s="181">
        <f ca="1">MIN(TblPop[[#This Row],[Peasants]],TblPop[[#This Row],[Jobs]])</f>
        <v>5800</v>
      </c>
      <c r="I100" s="180">
        <f ca="1">MIN(OFFSET(TblPop[[#This Row],[Jobs]],1,0)/TblPop[[#This Row],[Peasants]],1)</f>
        <v>1</v>
      </c>
      <c r="J100" s="181">
        <f ca="1">SUM(TblConstr[[#This Row],[Tot Alc]:[Tot GT]],TblConstr[[#This Row],[Tot Shr]:[Tot Doc]],TblConstr[[#This Row],[Dest Alc]:[Dest GT]],TblConstr[[#This Row],[Dest Shr]:[Dest Doc]])*building_employment</f>
        <v>11040</v>
      </c>
      <c r="K100" s="182"/>
      <c r="L100" s="183">
        <f ca="1">TblPop[[#This Row],[Draftees]]</f>
        <v>2287</v>
      </c>
      <c r="M100" s="183">
        <f ca="1">TblMili[[#This Row],[Unit 1]]</f>
        <v>0</v>
      </c>
      <c r="N100" s="183">
        <f ca="1">TblMili[[#This Row],[Unit 2]]</f>
        <v>1081</v>
      </c>
      <c r="O100" s="183">
        <f ca="1">TblMili[[#This Row],[Unit 3]]</f>
        <v>125</v>
      </c>
      <c r="P100" s="183">
        <f ca="1">TblMili[[#This Row],[Unit 4]]</f>
        <v>600</v>
      </c>
      <c r="Q100" s="183">
        <f ca="1">TblMili[[#This Row],[Spies]]</f>
        <v>35</v>
      </c>
      <c r="R100" s="183">
        <f ca="1">TblMili[[#This Row],[Wizards]]</f>
        <v>35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9963</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0" s="124">
        <f ca="1">MAX(-5%*TblPop[[#This Row],[Peasants]]-TblPop[[#This Row],[Draft Growth]],MIN(OFFSET(TblPop[[#This Row],[Net max]],1,0)-TblPop[[#This Row],[Peasants]]-TblPop[[#This Row],[Military]]-TblPop[[#This Row],[Draft Growth]],TblPop[[#This Row],[Modded Birth]]-TblPop[[#This Row],[Draft Growth]]))</f>
        <v>-58</v>
      </c>
      <c r="X100" s="124">
        <f ca="1">ROUND(TblPop[[#This Row],[Raw Birth]]*(1+TblPop[[#This Row],[Growth]]),0)</f>
        <v>207</v>
      </c>
      <c r="Y100" s="124">
        <f ca="1">(TblPop[[#This Row],[Peasants]]-TblPop[[#This Row],[Draft Growth]])*raw_pop_growth</f>
        <v>172.26</v>
      </c>
      <c r="Z100" s="124">
        <f ca="1">IF(TblPop[[#This Row],[Military%]]&lt;TblMili[[#This Row],[Draftrate]],ROUND(TblPop[[#This Row],[Peasants]]*Constants!$B$53,0), 0)</f>
        <v>58</v>
      </c>
      <c r="AA100" s="184"/>
      <c r="AB100" s="185">
        <f ca="1">Overview!$I$16 + IF(Magic!AD100&gt;0,Constants!$F$77) + ROUND(6*(Construction!BM101+Construction!CK100)/IF(Explore!S101&gt;0,Construction!F101-20,Construction!F101),4) + tech_6_5_2*Techs!BJ100 + tech_8_4*Techs!BT100</f>
        <v>0.2</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44408.791666666431</v>
      </c>
      <c r="C101" s="124">
        <f ca="1">OFFSET(TblPop[[#This Row],[Peasants]],-1,0)+OFFSET(TblPop[[#This Row],[Net Peasant]],-1,0)+TblMili[[#This Row],[Release Draft]]</f>
        <v>5742</v>
      </c>
      <c r="D101" s="124">
        <f ca="1">TblMili[[#This Row],[Military]]</f>
        <v>4221</v>
      </c>
      <c r="E101" s="124">
        <f ca="1">TblMili[[#This Row],[Draftees]]</f>
        <v>2345</v>
      </c>
      <c r="F101" s="124">
        <f ca="1">TblPop[[#This Row],[Peasants]]+TblPop[[#This Row],[Military]]</f>
        <v>9963</v>
      </c>
      <c r="G101" s="180">
        <f ca="1">TblPop[[#This Row],[Military]]/TblPop[[#This Row],[Total]]</f>
        <v>0.42366757000903343</v>
      </c>
      <c r="H101" s="181">
        <f ca="1">MIN(TblPop[[#This Row],[Peasants]],TblPop[[#This Row],[Jobs]])</f>
        <v>5742</v>
      </c>
      <c r="I101" s="180">
        <f ca="1">MIN(OFFSET(TblPop[[#This Row],[Jobs]],1,0)/TblPop[[#This Row],[Peasants]],1)</f>
        <v>1</v>
      </c>
      <c r="J101" s="181">
        <f ca="1">SUM(TblConstr[[#This Row],[Tot Alc]:[Tot GT]],TblConstr[[#This Row],[Tot Shr]:[Tot Doc]],TblConstr[[#This Row],[Dest Alc]:[Dest GT]],TblConstr[[#This Row],[Dest Shr]:[Dest Doc]])*building_employment</f>
        <v>11040</v>
      </c>
      <c r="K101" s="182"/>
      <c r="L101" s="183">
        <f ca="1">TblPop[[#This Row],[Draftees]]</f>
        <v>2345</v>
      </c>
      <c r="M101" s="183">
        <f ca="1">TblMili[[#This Row],[Unit 1]]</f>
        <v>0</v>
      </c>
      <c r="N101" s="183">
        <f ca="1">TblMili[[#This Row],[Unit 2]]</f>
        <v>1081</v>
      </c>
      <c r="O101" s="183">
        <f ca="1">TblMili[[#This Row],[Unit 3]]</f>
        <v>125</v>
      </c>
      <c r="P101" s="183">
        <f ca="1">TblMili[[#This Row],[Unit 4]]</f>
        <v>600</v>
      </c>
      <c r="Q101" s="183">
        <f ca="1">TblMili[[#This Row],[Spies]]</f>
        <v>35</v>
      </c>
      <c r="R101" s="183">
        <f ca="1">TblMili[[#This Row],[Wizards]]</f>
        <v>35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9963</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1" s="124">
        <f ca="1">MAX(-5%*TblPop[[#This Row],[Peasants]]-TblPop[[#This Row],[Draft Growth]],MIN(OFFSET(TblPop[[#This Row],[Net max]],1,0)-TblPop[[#This Row],[Peasants]]-TblPop[[#This Row],[Military]]-TblPop[[#This Row],[Draft Growth]],TblPop[[#This Row],[Modded Birth]]-TblPop[[#This Row],[Draft Growth]]))</f>
        <v>-57</v>
      </c>
      <c r="X101" s="124">
        <f ca="1">ROUND(TblPop[[#This Row],[Raw Birth]]*(1+TblPop[[#This Row],[Growth]]),0)</f>
        <v>205</v>
      </c>
      <c r="Y101" s="124">
        <f ca="1">(TblPop[[#This Row],[Peasants]]-TblPop[[#This Row],[Draft Growth]])*raw_pop_growth</f>
        <v>170.54999999999998</v>
      </c>
      <c r="Z101" s="124">
        <f ca="1">IF(TblPop[[#This Row],[Military%]]&lt;TblMili[[#This Row],[Draftrate]],ROUND(TblPop[[#This Row],[Peasants]]*Constants!$B$53,0), 0)</f>
        <v>57</v>
      </c>
      <c r="AA101" s="184"/>
      <c r="AB101" s="185">
        <f ca="1">Overview!$I$16 + IF(Magic!AD101&gt;0,Constants!$F$77) + ROUND(6*(Construction!BM102+Construction!CK101)/IF(Explore!S102&gt;0,Construction!F102-20,Construction!F102),4) + tech_6_5_2*Techs!BJ101 + tech_8_4*Techs!BT101</f>
        <v>0.2</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44408.833333333096</v>
      </c>
      <c r="C102" s="124">
        <f ca="1">OFFSET(TblPop[[#This Row],[Peasants]],-1,0)+OFFSET(TblPop[[#This Row],[Net Peasant]],-1,0)+TblMili[[#This Row],[Release Draft]]</f>
        <v>5685</v>
      </c>
      <c r="D102" s="124">
        <f ca="1">TblMili[[#This Row],[Military]]</f>
        <v>4278</v>
      </c>
      <c r="E102" s="124">
        <f ca="1">TblMili[[#This Row],[Draftees]]</f>
        <v>2402</v>
      </c>
      <c r="F102" s="124">
        <f ca="1">TblPop[[#This Row],[Peasants]]+TblPop[[#This Row],[Military]]</f>
        <v>9963</v>
      </c>
      <c r="G102" s="180">
        <f ca="1">TblPop[[#This Row],[Military]]/TblPop[[#This Row],[Total]]</f>
        <v>0.42938873833182778</v>
      </c>
      <c r="H102" s="181">
        <f ca="1">MIN(TblPop[[#This Row],[Peasants]],TblPop[[#This Row],[Jobs]])</f>
        <v>5685</v>
      </c>
      <c r="I102" s="180">
        <f ca="1">MIN(OFFSET(TblPop[[#This Row],[Jobs]],1,0)/TblPop[[#This Row],[Peasants]],1)</f>
        <v>1</v>
      </c>
      <c r="J102" s="181">
        <f ca="1">SUM(TblConstr[[#This Row],[Tot Alc]:[Tot GT]],TblConstr[[#This Row],[Tot Shr]:[Tot Doc]],TblConstr[[#This Row],[Dest Alc]:[Dest GT]],TblConstr[[#This Row],[Dest Shr]:[Dest Doc]])*building_employment</f>
        <v>11040</v>
      </c>
      <c r="K102" s="182"/>
      <c r="L102" s="183">
        <f ca="1">TblPop[[#This Row],[Draftees]]</f>
        <v>2402</v>
      </c>
      <c r="M102" s="183">
        <f ca="1">TblMili[[#This Row],[Unit 1]]</f>
        <v>0</v>
      </c>
      <c r="N102" s="183">
        <f ca="1">TblMili[[#This Row],[Unit 2]]</f>
        <v>1081</v>
      </c>
      <c r="O102" s="183">
        <f ca="1">TblMili[[#This Row],[Unit 3]]</f>
        <v>125</v>
      </c>
      <c r="P102" s="183">
        <f ca="1">TblMili[[#This Row],[Unit 4]]</f>
        <v>600</v>
      </c>
      <c r="Q102" s="183">
        <f ca="1">TblMili[[#This Row],[Spies]]</f>
        <v>35</v>
      </c>
      <c r="R102" s="183">
        <f ca="1">TblMili[[#This Row],[Wizards]]</f>
        <v>35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9963</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2" s="124">
        <f ca="1">MAX(-5%*TblPop[[#This Row],[Peasants]]-TblPop[[#This Row],[Draft Growth]],MIN(OFFSET(TblPop[[#This Row],[Net max]],1,0)-TblPop[[#This Row],[Peasants]]-TblPop[[#This Row],[Military]]-TblPop[[#This Row],[Draft Growth]],TblPop[[#This Row],[Modded Birth]]-TblPop[[#This Row],[Draft Growth]]))</f>
        <v>-57</v>
      </c>
      <c r="X102" s="124">
        <f ca="1">ROUND(TblPop[[#This Row],[Raw Birth]]*(1+TblPop[[#This Row],[Growth]]),0)</f>
        <v>203</v>
      </c>
      <c r="Y102" s="124">
        <f ca="1">(TblPop[[#This Row],[Peasants]]-TblPop[[#This Row],[Draft Growth]])*raw_pop_growth</f>
        <v>168.84</v>
      </c>
      <c r="Z102" s="124">
        <f ca="1">IF(TblPop[[#This Row],[Military%]]&lt;TblMili[[#This Row],[Draftrate]],ROUND(TblPop[[#This Row],[Peasants]]*Constants!$B$53,0), 0)</f>
        <v>57</v>
      </c>
      <c r="AA102" s="184"/>
      <c r="AB102" s="185">
        <f ca="1">Overview!$I$16 + IF(Magic!AD102&gt;0,Constants!$F$77) + ROUND(6*(Construction!BM103+Construction!CK102)/IF(Explore!S103&gt;0,Construction!F103-20,Construction!F103),4) + tech_6_5_2*Techs!BJ102 + tech_8_4*Techs!BT102</f>
        <v>0.2</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44408.87499999976</v>
      </c>
      <c r="C103" s="124">
        <f ca="1">OFFSET(TblPop[[#This Row],[Peasants]],-1,0)+OFFSET(TblPop[[#This Row],[Net Peasant]],-1,0)+TblMili[[#This Row],[Release Draft]]</f>
        <v>5628</v>
      </c>
      <c r="D103" s="124">
        <f ca="1">TblMili[[#This Row],[Military]]</f>
        <v>4335</v>
      </c>
      <c r="E103" s="124">
        <f ca="1">TblMili[[#This Row],[Draftees]]</f>
        <v>2459</v>
      </c>
      <c r="F103" s="124">
        <f ca="1">TblPop[[#This Row],[Peasants]]+TblPop[[#This Row],[Military]]</f>
        <v>9963</v>
      </c>
      <c r="G103" s="180">
        <f ca="1">TblPop[[#This Row],[Military]]/TblPop[[#This Row],[Total]]</f>
        <v>0.43510990665462213</v>
      </c>
      <c r="H103" s="181">
        <f ca="1">MIN(TblPop[[#This Row],[Peasants]],TblPop[[#This Row],[Jobs]])</f>
        <v>5628</v>
      </c>
      <c r="I103" s="180">
        <f ca="1">MIN(OFFSET(TblPop[[#This Row],[Jobs]],1,0)/TblPop[[#This Row],[Peasants]],1)</f>
        <v>1</v>
      </c>
      <c r="J103" s="181">
        <f ca="1">SUM(TblConstr[[#This Row],[Tot Alc]:[Tot GT]],TblConstr[[#This Row],[Tot Shr]:[Tot Doc]],TblConstr[[#This Row],[Dest Alc]:[Dest GT]],TblConstr[[#This Row],[Dest Shr]:[Dest Doc]])*building_employment</f>
        <v>11040</v>
      </c>
      <c r="K103" s="182"/>
      <c r="L103" s="183">
        <f ca="1">TblPop[[#This Row],[Draftees]]</f>
        <v>2459</v>
      </c>
      <c r="M103" s="183">
        <f ca="1">TblMili[[#This Row],[Unit 1]]</f>
        <v>0</v>
      </c>
      <c r="N103" s="183">
        <f ca="1">TblMili[[#This Row],[Unit 2]]</f>
        <v>1081</v>
      </c>
      <c r="O103" s="183">
        <f ca="1">TblMili[[#This Row],[Unit 3]]</f>
        <v>125</v>
      </c>
      <c r="P103" s="183">
        <f ca="1">TblMili[[#This Row],[Unit 4]]</f>
        <v>600</v>
      </c>
      <c r="Q103" s="183">
        <f ca="1">TblMili[[#This Row],[Spies]]</f>
        <v>35</v>
      </c>
      <c r="R103" s="183">
        <f ca="1">TblMili[[#This Row],[Wizards]]</f>
        <v>35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9963</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3" s="124">
        <f ca="1">MAX(-5%*TblPop[[#This Row],[Peasants]]-TblPop[[#This Row],[Draft Growth]],MIN(OFFSET(TblPop[[#This Row],[Net max]],1,0)-TblPop[[#This Row],[Peasants]]-TblPop[[#This Row],[Military]]-TblPop[[#This Row],[Draft Growth]],TblPop[[#This Row],[Modded Birth]]-TblPop[[#This Row],[Draft Growth]]))</f>
        <v>-56</v>
      </c>
      <c r="X103" s="124">
        <f ca="1">ROUND(TblPop[[#This Row],[Raw Birth]]*(1+TblPop[[#This Row],[Growth]]),0)</f>
        <v>201</v>
      </c>
      <c r="Y103" s="124">
        <f ca="1">(TblPop[[#This Row],[Peasants]]-TblPop[[#This Row],[Draft Growth]])*raw_pop_growth</f>
        <v>167.16</v>
      </c>
      <c r="Z103" s="124">
        <f ca="1">IF(TblPop[[#This Row],[Military%]]&lt;TblMili[[#This Row],[Draftrate]],ROUND(TblPop[[#This Row],[Peasants]]*Constants!$B$53,0), 0)</f>
        <v>56</v>
      </c>
      <c r="AA103" s="184"/>
      <c r="AB103" s="185">
        <f ca="1">Overview!$I$16 + IF(Magic!AD103&gt;0,Constants!$F$77) + ROUND(6*(Construction!BM104+Construction!CK103)/IF(Explore!S104&gt;0,Construction!F104-20,Construction!F104),4) + tech_6_5_2*Techs!BJ103 + tech_8_4*Techs!BT103</f>
        <v>0.2</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44408.916666666424</v>
      </c>
      <c r="C104" s="124">
        <f ca="1">OFFSET(TblPop[[#This Row],[Peasants]],-1,0)+OFFSET(TblPop[[#This Row],[Net Peasant]],-1,0)+TblMili[[#This Row],[Release Draft]]</f>
        <v>5572</v>
      </c>
      <c r="D104" s="124">
        <f ca="1">TblMili[[#This Row],[Military]]</f>
        <v>4391</v>
      </c>
      <c r="E104" s="124">
        <f ca="1">TblMili[[#This Row],[Draftees]]</f>
        <v>2515</v>
      </c>
      <c r="F104" s="124">
        <f ca="1">TblPop[[#This Row],[Peasants]]+TblPop[[#This Row],[Military]]</f>
        <v>9963</v>
      </c>
      <c r="G104" s="180">
        <f ca="1">TblPop[[#This Row],[Military]]/TblPop[[#This Row],[Total]]</f>
        <v>0.44073070360333233</v>
      </c>
      <c r="H104" s="181">
        <f ca="1">MIN(TblPop[[#This Row],[Peasants]],TblPop[[#This Row],[Jobs]])</f>
        <v>5572</v>
      </c>
      <c r="I104" s="180">
        <f ca="1">MIN(OFFSET(TblPop[[#This Row],[Jobs]],1,0)/TblPop[[#This Row],[Peasants]],1)</f>
        <v>1</v>
      </c>
      <c r="J104" s="181">
        <f ca="1">SUM(TblConstr[[#This Row],[Tot Alc]:[Tot GT]],TblConstr[[#This Row],[Tot Shr]:[Tot Doc]],TblConstr[[#This Row],[Dest Alc]:[Dest GT]],TblConstr[[#This Row],[Dest Shr]:[Dest Doc]])*building_employment</f>
        <v>11040</v>
      </c>
      <c r="K104" s="182"/>
      <c r="L104" s="183">
        <f ca="1">TblPop[[#This Row],[Draftees]]</f>
        <v>2515</v>
      </c>
      <c r="M104" s="183">
        <f ca="1">TblMili[[#This Row],[Unit 1]]</f>
        <v>0</v>
      </c>
      <c r="N104" s="183">
        <f ca="1">TblMili[[#This Row],[Unit 2]]</f>
        <v>1081</v>
      </c>
      <c r="O104" s="183">
        <f ca="1">TblMili[[#This Row],[Unit 3]]</f>
        <v>125</v>
      </c>
      <c r="P104" s="183">
        <f ca="1">TblMili[[#This Row],[Unit 4]]</f>
        <v>600</v>
      </c>
      <c r="Q104" s="183">
        <f ca="1">TblMili[[#This Row],[Spies]]</f>
        <v>35</v>
      </c>
      <c r="R104" s="183">
        <f ca="1">TblMili[[#This Row],[Wizards]]</f>
        <v>35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9963</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4" s="124">
        <f ca="1">MAX(-5%*TblPop[[#This Row],[Peasants]]-TblPop[[#This Row],[Draft Growth]],MIN(OFFSET(TblPop[[#This Row],[Net max]],1,0)-TblPop[[#This Row],[Peasants]]-TblPop[[#This Row],[Military]]-TblPop[[#This Row],[Draft Growth]],TblPop[[#This Row],[Modded Birth]]-TblPop[[#This Row],[Draft Growth]]))</f>
        <v>-56</v>
      </c>
      <c r="X104" s="124">
        <f ca="1">ROUND(TblPop[[#This Row],[Raw Birth]]*(1+TblPop[[#This Row],[Growth]]),0)</f>
        <v>199</v>
      </c>
      <c r="Y104" s="124">
        <f ca="1">(TblPop[[#This Row],[Peasants]]-TblPop[[#This Row],[Draft Growth]])*raw_pop_growth</f>
        <v>165.48</v>
      </c>
      <c r="Z104" s="124">
        <f ca="1">IF(TblPop[[#This Row],[Military%]]&lt;TblMili[[#This Row],[Draftrate]],ROUND(TblPop[[#This Row],[Peasants]]*Constants!$B$53,0), 0)</f>
        <v>56</v>
      </c>
      <c r="AA104" s="184"/>
      <c r="AB104" s="185">
        <f ca="1">Overview!$I$16 + IF(Magic!AD104&gt;0,Constants!$F$77) + ROUND(6*(Construction!BM105+Construction!CK104)/IF(Explore!S105&gt;0,Construction!F105-20,Construction!F105),4) + tech_6_5_2*Techs!BJ104 + tech_8_4*Techs!BT104</f>
        <v>0.2</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44408.958333333088</v>
      </c>
      <c r="C105" s="124">
        <f ca="1">OFFSET(TblPop[[#This Row],[Peasants]],-1,0)+OFFSET(TblPop[[#This Row],[Net Peasant]],-1,0)+TblMili[[#This Row],[Release Draft]]</f>
        <v>5516</v>
      </c>
      <c r="D105" s="124">
        <f ca="1">TblMili[[#This Row],[Military]]</f>
        <v>4447</v>
      </c>
      <c r="E105" s="124">
        <f ca="1">TblMili[[#This Row],[Draftees]]</f>
        <v>2571</v>
      </c>
      <c r="F105" s="124">
        <f ca="1">TblPop[[#This Row],[Peasants]]+TblPop[[#This Row],[Military]]</f>
        <v>9963</v>
      </c>
      <c r="G105" s="180">
        <f ca="1">TblPop[[#This Row],[Military]]/TblPop[[#This Row],[Total]]</f>
        <v>0.44635150055204253</v>
      </c>
      <c r="H105" s="181">
        <f ca="1">MIN(TblPop[[#This Row],[Peasants]],TblPop[[#This Row],[Jobs]])</f>
        <v>5516</v>
      </c>
      <c r="I105" s="180">
        <f ca="1">MIN(OFFSET(TblPop[[#This Row],[Jobs]],1,0)/TblPop[[#This Row],[Peasants]],1)</f>
        <v>1</v>
      </c>
      <c r="J105" s="181">
        <f ca="1">SUM(TblConstr[[#This Row],[Tot Alc]:[Tot GT]],TblConstr[[#This Row],[Tot Shr]:[Tot Doc]],TblConstr[[#This Row],[Dest Alc]:[Dest GT]],TblConstr[[#This Row],[Dest Shr]:[Dest Doc]])*building_employment</f>
        <v>11040</v>
      </c>
      <c r="K105" s="182"/>
      <c r="L105" s="183">
        <f ca="1">TblPop[[#This Row],[Draftees]]</f>
        <v>2571</v>
      </c>
      <c r="M105" s="183">
        <f ca="1">TblMili[[#This Row],[Unit 1]]</f>
        <v>0</v>
      </c>
      <c r="N105" s="183">
        <f ca="1">TblMili[[#This Row],[Unit 2]]</f>
        <v>1081</v>
      </c>
      <c r="O105" s="183">
        <f ca="1">TblMili[[#This Row],[Unit 3]]</f>
        <v>125</v>
      </c>
      <c r="P105" s="183">
        <f ca="1">TblMili[[#This Row],[Unit 4]]</f>
        <v>600</v>
      </c>
      <c r="Q105" s="183">
        <f ca="1">TblMili[[#This Row],[Spies]]</f>
        <v>35</v>
      </c>
      <c r="R105" s="183">
        <f ca="1">TblMili[[#This Row],[Wizards]]</f>
        <v>35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9963</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5" s="124">
        <f ca="1">MAX(-5%*TblPop[[#This Row],[Peasants]]-TblPop[[#This Row],[Draft Growth]],MIN(OFFSET(TblPop[[#This Row],[Net max]],1,0)-TblPop[[#This Row],[Peasants]]-TblPop[[#This Row],[Military]]-TblPop[[#This Row],[Draft Growth]],TblPop[[#This Row],[Modded Birth]]-TblPop[[#This Row],[Draft Growth]]))</f>
        <v>-55</v>
      </c>
      <c r="X105" s="124">
        <f ca="1">ROUND(TblPop[[#This Row],[Raw Birth]]*(1+TblPop[[#This Row],[Growth]]),0)</f>
        <v>197</v>
      </c>
      <c r="Y105" s="124">
        <f ca="1">(TblPop[[#This Row],[Peasants]]-TblPop[[#This Row],[Draft Growth]])*raw_pop_growth</f>
        <v>163.82999999999998</v>
      </c>
      <c r="Z105" s="124">
        <f ca="1">IF(TblPop[[#This Row],[Military%]]&lt;TblMili[[#This Row],[Draftrate]],ROUND(TblPop[[#This Row],[Peasants]]*Constants!$B$53,0), 0)</f>
        <v>55</v>
      </c>
      <c r="AA105" s="184"/>
      <c r="AB105" s="185">
        <f ca="1">Overview!$I$16 + IF(Magic!AD105&gt;0,Constants!$F$77) + ROUND(6*(Construction!BM106+Construction!CK105)/IF(Explore!S106&gt;0,Construction!F106-20,Construction!F106),4) + tech_6_5_2*Techs!BJ105 + tech_8_4*Techs!BT105</f>
        <v>0.2</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44408.999999999753</v>
      </c>
      <c r="C106" s="124">
        <f ca="1">OFFSET(TblPop[[#This Row],[Peasants]],-1,0)+OFFSET(TblPop[[#This Row],[Net Peasant]],-1,0)+TblMili[[#This Row],[Release Draft]]</f>
        <v>5461</v>
      </c>
      <c r="D106" s="124">
        <f ca="1">TblMili[[#This Row],[Military]]</f>
        <v>4502</v>
      </c>
      <c r="E106" s="124">
        <f ca="1">TblMili[[#This Row],[Draftees]]</f>
        <v>2626</v>
      </c>
      <c r="F106" s="124">
        <f ca="1">TblPop[[#This Row],[Peasants]]+TblPop[[#This Row],[Military]]</f>
        <v>9963</v>
      </c>
      <c r="G106" s="180">
        <f ca="1">TblPop[[#This Row],[Military]]/TblPop[[#This Row],[Total]]</f>
        <v>0.45187192612666865</v>
      </c>
      <c r="H106" s="181">
        <f ca="1">MIN(TblPop[[#This Row],[Peasants]],TblPop[[#This Row],[Jobs]])</f>
        <v>5461</v>
      </c>
      <c r="I106" s="180">
        <f ca="1">MIN(OFFSET(TblPop[[#This Row],[Jobs]],1,0)/TblPop[[#This Row],[Peasants]],1)</f>
        <v>1</v>
      </c>
      <c r="J106" s="181">
        <f ca="1">SUM(TblConstr[[#This Row],[Tot Alc]:[Tot GT]],TblConstr[[#This Row],[Tot Shr]:[Tot Doc]],TblConstr[[#This Row],[Dest Alc]:[Dest GT]],TblConstr[[#This Row],[Dest Shr]:[Dest Doc]])*building_employment</f>
        <v>11040</v>
      </c>
      <c r="K106" s="182"/>
      <c r="L106" s="183">
        <f ca="1">TblPop[[#This Row],[Draftees]]</f>
        <v>2626</v>
      </c>
      <c r="M106" s="183">
        <f ca="1">TblMili[[#This Row],[Unit 1]]</f>
        <v>0</v>
      </c>
      <c r="N106" s="183">
        <f ca="1">TblMili[[#This Row],[Unit 2]]</f>
        <v>1081</v>
      </c>
      <c r="O106" s="183">
        <f ca="1">TblMili[[#This Row],[Unit 3]]</f>
        <v>125</v>
      </c>
      <c r="P106" s="183">
        <f ca="1">TblMili[[#This Row],[Unit 4]]</f>
        <v>600</v>
      </c>
      <c r="Q106" s="183">
        <f ca="1">TblMili[[#This Row],[Spies]]</f>
        <v>35</v>
      </c>
      <c r="R106" s="183">
        <f ca="1">TblMili[[#This Row],[Wizards]]</f>
        <v>35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9963</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6" s="124">
        <f ca="1">MAX(-5%*TblPop[[#This Row],[Peasants]]-TblPop[[#This Row],[Draft Growth]],MIN(OFFSET(TblPop[[#This Row],[Net max]],1,0)-TblPop[[#This Row],[Peasants]]-TblPop[[#This Row],[Military]]-TblPop[[#This Row],[Draft Growth]],TblPop[[#This Row],[Modded Birth]]-TblPop[[#This Row],[Draft Growth]]))</f>
        <v>-55</v>
      </c>
      <c r="X106" s="124">
        <f ca="1">ROUND(TblPop[[#This Row],[Raw Birth]]*(1+TblPop[[#This Row],[Growth]]),0)</f>
        <v>195</v>
      </c>
      <c r="Y106" s="124">
        <f ca="1">(TblPop[[#This Row],[Peasants]]-TblPop[[#This Row],[Draft Growth]])*raw_pop_growth</f>
        <v>162.18</v>
      </c>
      <c r="Z106" s="124">
        <f ca="1">IF(TblPop[[#This Row],[Military%]]&lt;TblMili[[#This Row],[Draftrate]],ROUND(TblPop[[#This Row],[Peasants]]*Constants!$B$53,0), 0)</f>
        <v>55</v>
      </c>
      <c r="AA106" s="184"/>
      <c r="AB106" s="185">
        <f ca="1">Overview!$I$16 + IF(Magic!AD106&gt;0,Constants!$F$77) + ROUND(6*(Construction!BM107+Construction!CK106)/IF(Explore!S107&gt;0,Construction!F107-20,Construction!F107),4) + tech_6_5_2*Techs!BJ106 + tech_8_4*Techs!BT106</f>
        <v>0.2</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44409.041666666417</v>
      </c>
      <c r="C107" s="124">
        <f ca="1">OFFSET(TblPop[[#This Row],[Peasants]],-1,0)+OFFSET(TblPop[[#This Row],[Net Peasant]],-1,0)+TblMili[[#This Row],[Release Draft]]</f>
        <v>5406</v>
      </c>
      <c r="D107" s="124">
        <f ca="1">TblMili[[#This Row],[Military]]</f>
        <v>4557</v>
      </c>
      <c r="E107" s="124">
        <f ca="1">TblMili[[#This Row],[Draftees]]</f>
        <v>2681</v>
      </c>
      <c r="F107" s="124">
        <f ca="1">TblPop[[#This Row],[Peasants]]+TblPop[[#This Row],[Military]]</f>
        <v>9963</v>
      </c>
      <c r="G107" s="180">
        <f ca="1">TblPop[[#This Row],[Military]]/TblPop[[#This Row],[Total]]</f>
        <v>0.45739235170129477</v>
      </c>
      <c r="H107" s="181">
        <f ca="1">MIN(TblPop[[#This Row],[Peasants]],TblPop[[#This Row],[Jobs]])</f>
        <v>5406</v>
      </c>
      <c r="I107" s="180">
        <f ca="1">MIN(OFFSET(TblPop[[#This Row],[Jobs]],1,0)/TblPop[[#This Row],[Peasants]],1)</f>
        <v>1</v>
      </c>
      <c r="J107" s="181">
        <f ca="1">SUM(TblConstr[[#This Row],[Tot Alc]:[Tot GT]],TblConstr[[#This Row],[Tot Shr]:[Tot Doc]],TblConstr[[#This Row],[Dest Alc]:[Dest GT]],TblConstr[[#This Row],[Dest Shr]:[Dest Doc]])*building_employment</f>
        <v>11040</v>
      </c>
      <c r="K107" s="182"/>
      <c r="L107" s="183">
        <f ca="1">TblPop[[#This Row],[Draftees]]</f>
        <v>2681</v>
      </c>
      <c r="M107" s="183">
        <f ca="1">TblMili[[#This Row],[Unit 1]]</f>
        <v>0</v>
      </c>
      <c r="N107" s="183">
        <f ca="1">TblMili[[#This Row],[Unit 2]]</f>
        <v>1081</v>
      </c>
      <c r="O107" s="183">
        <f ca="1">TblMili[[#This Row],[Unit 3]]</f>
        <v>125</v>
      </c>
      <c r="P107" s="183">
        <f ca="1">TblMili[[#This Row],[Unit 4]]</f>
        <v>600</v>
      </c>
      <c r="Q107" s="183">
        <f ca="1">TblMili[[#This Row],[Spies]]</f>
        <v>35</v>
      </c>
      <c r="R107" s="183">
        <f ca="1">TblMili[[#This Row],[Wizards]]</f>
        <v>35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9963</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7" s="124">
        <f ca="1">MAX(-5%*TblPop[[#This Row],[Peasants]]-TblPop[[#This Row],[Draft Growth]],MIN(OFFSET(TblPop[[#This Row],[Net max]],1,0)-TblPop[[#This Row],[Peasants]]-TblPop[[#This Row],[Military]]-TblPop[[#This Row],[Draft Growth]],TblPop[[#This Row],[Modded Birth]]-TblPop[[#This Row],[Draft Growth]]))</f>
        <v>-54</v>
      </c>
      <c r="X107" s="124">
        <f ca="1">ROUND(TblPop[[#This Row],[Raw Birth]]*(1+TblPop[[#This Row],[Growth]]),0)</f>
        <v>193</v>
      </c>
      <c r="Y107" s="124">
        <f ca="1">(TblPop[[#This Row],[Peasants]]-TblPop[[#This Row],[Draft Growth]])*raw_pop_growth</f>
        <v>160.56</v>
      </c>
      <c r="Z107" s="124">
        <f ca="1">IF(TblPop[[#This Row],[Military%]]&lt;TblMili[[#This Row],[Draftrate]],ROUND(TblPop[[#This Row],[Peasants]]*Constants!$B$53,0), 0)</f>
        <v>54</v>
      </c>
      <c r="AA107" s="184"/>
      <c r="AB107" s="185">
        <f ca="1">Overview!$I$16 + IF(Magic!AD107&gt;0,Constants!$F$77) + ROUND(6*(Construction!BM108+Construction!CK107)/IF(Explore!S108&gt;0,Construction!F108-20,Construction!F108),4) + tech_6_5_2*Techs!BJ107 + tech_8_4*Techs!BT107</f>
        <v>0.2</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44409.083333333081</v>
      </c>
      <c r="C108" s="124">
        <f ca="1">OFFSET(TblPop[[#This Row],[Peasants]],-1,0)+OFFSET(TblPop[[#This Row],[Net Peasant]],-1,0)+TblMili[[#This Row],[Release Draft]]</f>
        <v>5352</v>
      </c>
      <c r="D108" s="124">
        <f ca="1">TblMili[[#This Row],[Military]]</f>
        <v>4611</v>
      </c>
      <c r="E108" s="124">
        <f ca="1">TblMili[[#This Row],[Draftees]]</f>
        <v>2735</v>
      </c>
      <c r="F108" s="124">
        <f ca="1">TblPop[[#This Row],[Peasants]]+TblPop[[#This Row],[Military]]</f>
        <v>9963</v>
      </c>
      <c r="G108" s="180">
        <f ca="1">TblPop[[#This Row],[Military]]/TblPop[[#This Row],[Total]]</f>
        <v>0.46281240590183681</v>
      </c>
      <c r="H108" s="181">
        <f ca="1">MIN(TblPop[[#This Row],[Peasants]],TblPop[[#This Row],[Jobs]])</f>
        <v>5352</v>
      </c>
      <c r="I108" s="180">
        <f ca="1">MIN(OFFSET(TblPop[[#This Row],[Jobs]],1,0)/TblPop[[#This Row],[Peasants]],1)</f>
        <v>1</v>
      </c>
      <c r="J108" s="181">
        <f ca="1">SUM(TblConstr[[#This Row],[Tot Alc]:[Tot GT]],TblConstr[[#This Row],[Tot Shr]:[Tot Doc]],TblConstr[[#This Row],[Dest Alc]:[Dest GT]],TblConstr[[#This Row],[Dest Shr]:[Dest Doc]])*building_employment</f>
        <v>11040</v>
      </c>
      <c r="K108" s="182"/>
      <c r="L108" s="183">
        <f ca="1">TblPop[[#This Row],[Draftees]]</f>
        <v>2735</v>
      </c>
      <c r="M108" s="183">
        <f ca="1">TblMili[[#This Row],[Unit 1]]</f>
        <v>0</v>
      </c>
      <c r="N108" s="183">
        <f ca="1">TblMili[[#This Row],[Unit 2]]</f>
        <v>1081</v>
      </c>
      <c r="O108" s="183">
        <f ca="1">TblMili[[#This Row],[Unit 3]]</f>
        <v>125</v>
      </c>
      <c r="P108" s="183">
        <f ca="1">TblMili[[#This Row],[Unit 4]]</f>
        <v>600</v>
      </c>
      <c r="Q108" s="183">
        <f ca="1">TblMili[[#This Row],[Spies]]</f>
        <v>35</v>
      </c>
      <c r="R108" s="183">
        <f ca="1">TblMili[[#This Row],[Wizards]]</f>
        <v>35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9963</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8" s="124">
        <f ca="1">MAX(-5%*TblPop[[#This Row],[Peasants]]-TblPop[[#This Row],[Draft Growth]],MIN(OFFSET(TblPop[[#This Row],[Net max]],1,0)-TblPop[[#This Row],[Peasants]]-TblPop[[#This Row],[Military]]-TblPop[[#This Row],[Draft Growth]],TblPop[[#This Row],[Modded Birth]]-TblPop[[#This Row],[Draft Growth]]))</f>
        <v>-54</v>
      </c>
      <c r="X108" s="124">
        <f ca="1">ROUND(TblPop[[#This Row],[Raw Birth]]*(1+TblPop[[#This Row],[Growth]]),0)</f>
        <v>191</v>
      </c>
      <c r="Y108" s="124">
        <f ca="1">(TblPop[[#This Row],[Peasants]]-TblPop[[#This Row],[Draft Growth]])*raw_pop_growth</f>
        <v>158.94</v>
      </c>
      <c r="Z108" s="124">
        <f ca="1">IF(TblPop[[#This Row],[Military%]]&lt;TblMili[[#This Row],[Draftrate]],ROUND(TblPop[[#This Row],[Peasants]]*Constants!$B$53,0), 0)</f>
        <v>54</v>
      </c>
      <c r="AA108" s="184"/>
      <c r="AB108" s="185">
        <f ca="1">Overview!$I$16 + IF(Magic!AD108&gt;0,Constants!$F$77) + ROUND(6*(Construction!BM109+Construction!CK108)/IF(Explore!S109&gt;0,Construction!F109-20,Construction!F109),4) + tech_6_5_2*Techs!BJ108 + tech_8_4*Techs!BT108</f>
        <v>0.2</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44409.124999999745</v>
      </c>
      <c r="C109" s="124">
        <f ca="1">OFFSET(TblPop[[#This Row],[Peasants]],-1,0)+OFFSET(TblPop[[#This Row],[Net Peasant]],-1,0)+TblMili[[#This Row],[Release Draft]]</f>
        <v>5298</v>
      </c>
      <c r="D109" s="124">
        <f ca="1">TblMili[[#This Row],[Military]]</f>
        <v>4665</v>
      </c>
      <c r="E109" s="124">
        <f ca="1">TblMili[[#This Row],[Draftees]]</f>
        <v>2789</v>
      </c>
      <c r="F109" s="124">
        <f ca="1">TblPop[[#This Row],[Peasants]]+TblPop[[#This Row],[Military]]</f>
        <v>9963</v>
      </c>
      <c r="G109" s="180">
        <f ca="1">TblPop[[#This Row],[Military]]/TblPop[[#This Row],[Total]]</f>
        <v>0.46823246010237879</v>
      </c>
      <c r="H109" s="181">
        <f ca="1">MIN(TblPop[[#This Row],[Peasants]],TblPop[[#This Row],[Jobs]])</f>
        <v>5298</v>
      </c>
      <c r="I109" s="180">
        <f ca="1">MIN(OFFSET(TblPop[[#This Row],[Jobs]],1,0)/TblPop[[#This Row],[Peasants]],1)</f>
        <v>1</v>
      </c>
      <c r="J109" s="181">
        <f ca="1">SUM(TblConstr[[#This Row],[Tot Alc]:[Tot GT]],TblConstr[[#This Row],[Tot Shr]:[Tot Doc]],TblConstr[[#This Row],[Dest Alc]:[Dest GT]],TblConstr[[#This Row],[Dest Shr]:[Dest Doc]])*building_employment</f>
        <v>11040</v>
      </c>
      <c r="K109" s="182"/>
      <c r="L109" s="183">
        <f ca="1">TblPop[[#This Row],[Draftees]]</f>
        <v>2789</v>
      </c>
      <c r="M109" s="183">
        <f ca="1">TblMili[[#This Row],[Unit 1]]</f>
        <v>0</v>
      </c>
      <c r="N109" s="183">
        <f ca="1">TblMili[[#This Row],[Unit 2]]</f>
        <v>1081</v>
      </c>
      <c r="O109" s="183">
        <f ca="1">TblMili[[#This Row],[Unit 3]]</f>
        <v>125</v>
      </c>
      <c r="P109" s="183">
        <f ca="1">TblMili[[#This Row],[Unit 4]]</f>
        <v>600</v>
      </c>
      <c r="Q109" s="183">
        <f ca="1">TblMili[[#This Row],[Spies]]</f>
        <v>35</v>
      </c>
      <c r="R109" s="183">
        <f ca="1">TblMili[[#This Row],[Wizards]]</f>
        <v>35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9963</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9" s="124">
        <f ca="1">MAX(-5%*TblPop[[#This Row],[Peasants]]-TblPop[[#This Row],[Draft Growth]],MIN(OFFSET(TblPop[[#This Row],[Net max]],1,0)-TblPop[[#This Row],[Peasants]]-TblPop[[#This Row],[Military]]-TblPop[[#This Row],[Draft Growth]],TblPop[[#This Row],[Modded Birth]]-TblPop[[#This Row],[Draft Growth]]))</f>
        <v>-53</v>
      </c>
      <c r="X109" s="124">
        <f ca="1">ROUND(TblPop[[#This Row],[Raw Birth]]*(1+TblPop[[#This Row],[Growth]]),0)</f>
        <v>189</v>
      </c>
      <c r="Y109" s="124">
        <f ca="1">(TblPop[[#This Row],[Peasants]]-TblPop[[#This Row],[Draft Growth]])*raw_pop_growth</f>
        <v>157.35</v>
      </c>
      <c r="Z109" s="124">
        <f ca="1">IF(TblPop[[#This Row],[Military%]]&lt;TblMili[[#This Row],[Draftrate]],ROUND(TblPop[[#This Row],[Peasants]]*Constants!$B$53,0), 0)</f>
        <v>53</v>
      </c>
      <c r="AA109" s="184"/>
      <c r="AB109" s="185">
        <f ca="1">Overview!$I$16 + IF(Magic!AD109&gt;0,Constants!$F$77) + ROUND(6*(Construction!BM110+Construction!CK109)/IF(Explore!S110&gt;0,Construction!F110-20,Construction!F110),4) + tech_6_5_2*Techs!BJ109 + tech_8_4*Techs!BT109</f>
        <v>0.2</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44409.16666666641</v>
      </c>
      <c r="C110" s="124">
        <f ca="1">OFFSET(TblPop[[#This Row],[Peasants]],-1,0)+OFFSET(TblPop[[#This Row],[Net Peasant]],-1,0)+TblMili[[#This Row],[Release Draft]]</f>
        <v>5245</v>
      </c>
      <c r="D110" s="124">
        <f ca="1">TblMili[[#This Row],[Military]]</f>
        <v>4718</v>
      </c>
      <c r="E110" s="124">
        <f ca="1">TblMili[[#This Row],[Draftees]]</f>
        <v>2842</v>
      </c>
      <c r="F110" s="124">
        <f ca="1">TblPop[[#This Row],[Peasants]]+TblPop[[#This Row],[Military]]</f>
        <v>9963</v>
      </c>
      <c r="G110" s="180">
        <f ca="1">TblPop[[#This Row],[Military]]/TblPop[[#This Row],[Total]]</f>
        <v>0.47355214292883668</v>
      </c>
      <c r="H110" s="181">
        <f ca="1">MIN(TblPop[[#This Row],[Peasants]],TblPop[[#This Row],[Jobs]])</f>
        <v>5245</v>
      </c>
      <c r="I110" s="180">
        <f ca="1">MIN(OFFSET(TblPop[[#This Row],[Jobs]],1,0)/TblPop[[#This Row],[Peasants]],1)</f>
        <v>1</v>
      </c>
      <c r="J110" s="181">
        <f ca="1">SUM(TblConstr[[#This Row],[Tot Alc]:[Tot GT]],TblConstr[[#This Row],[Tot Shr]:[Tot Doc]],TblConstr[[#This Row],[Dest Alc]:[Dest GT]],TblConstr[[#This Row],[Dest Shr]:[Dest Doc]])*building_employment</f>
        <v>11040</v>
      </c>
      <c r="K110" s="182"/>
      <c r="L110" s="183">
        <f ca="1">TblPop[[#This Row],[Draftees]]</f>
        <v>2842</v>
      </c>
      <c r="M110" s="183">
        <f ca="1">TblMili[[#This Row],[Unit 1]]</f>
        <v>0</v>
      </c>
      <c r="N110" s="183">
        <f ca="1">TblMili[[#This Row],[Unit 2]]</f>
        <v>1081</v>
      </c>
      <c r="O110" s="183">
        <f ca="1">TblMili[[#This Row],[Unit 3]]</f>
        <v>125</v>
      </c>
      <c r="P110" s="183">
        <f ca="1">TblMili[[#This Row],[Unit 4]]</f>
        <v>600</v>
      </c>
      <c r="Q110" s="183">
        <f ca="1">TblMili[[#This Row],[Spies]]</f>
        <v>35</v>
      </c>
      <c r="R110" s="183">
        <f ca="1">TblMili[[#This Row],[Wizards]]</f>
        <v>35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9963</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0" s="124">
        <f ca="1">MAX(-5%*TblPop[[#This Row],[Peasants]]-TblPop[[#This Row],[Draft Growth]],MIN(OFFSET(TblPop[[#This Row],[Net max]],1,0)-TblPop[[#This Row],[Peasants]]-TblPop[[#This Row],[Military]]-TblPop[[#This Row],[Draft Growth]],TblPop[[#This Row],[Modded Birth]]-TblPop[[#This Row],[Draft Growth]]))</f>
        <v>-52</v>
      </c>
      <c r="X110" s="124">
        <f ca="1">ROUND(TblPop[[#This Row],[Raw Birth]]*(1+TblPop[[#This Row],[Growth]]),0)</f>
        <v>187</v>
      </c>
      <c r="Y110" s="124">
        <f ca="1">(TblPop[[#This Row],[Peasants]]-TblPop[[#This Row],[Draft Growth]])*raw_pop_growth</f>
        <v>155.79</v>
      </c>
      <c r="Z110" s="124">
        <f ca="1">IF(TblPop[[#This Row],[Military%]]&lt;TblMili[[#This Row],[Draftrate]],ROUND(TblPop[[#This Row],[Peasants]]*Constants!$B$53,0), 0)</f>
        <v>52</v>
      </c>
      <c r="AA110" s="184"/>
      <c r="AB110" s="185">
        <f ca="1">Overview!$I$16 + IF(Magic!AD110&gt;0,Constants!$F$77) + ROUND(6*(Construction!BM111+Construction!CK110)/IF(Explore!S111&gt;0,Construction!F111-20,Construction!F111),4) + tech_6_5_2*Techs!BJ110 + tech_8_4*Techs!BT110</f>
        <v>0.2</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44409.208333333074</v>
      </c>
      <c r="C111" s="124">
        <f ca="1">OFFSET(TblPop[[#This Row],[Peasants]],-1,0)+OFFSET(TblPop[[#This Row],[Net Peasant]],-1,0)+TblMili[[#This Row],[Release Draft]]</f>
        <v>5193</v>
      </c>
      <c r="D111" s="124">
        <f ca="1">TblMili[[#This Row],[Military]]</f>
        <v>4770</v>
      </c>
      <c r="E111" s="124">
        <f ca="1">TblMili[[#This Row],[Draftees]]</f>
        <v>2894</v>
      </c>
      <c r="F111" s="124">
        <f ca="1">TblPop[[#This Row],[Peasants]]+TblPop[[#This Row],[Military]]</f>
        <v>9963</v>
      </c>
      <c r="G111" s="180">
        <f ca="1">TblPop[[#This Row],[Military]]/TblPop[[#This Row],[Total]]</f>
        <v>0.47877145438121049</v>
      </c>
      <c r="H111" s="181">
        <f ca="1">MIN(TblPop[[#This Row],[Peasants]],TblPop[[#This Row],[Jobs]])</f>
        <v>5193</v>
      </c>
      <c r="I111" s="180">
        <f ca="1">MIN(OFFSET(TblPop[[#This Row],[Jobs]],1,0)/TblPop[[#This Row],[Peasants]],1)</f>
        <v>1</v>
      </c>
      <c r="J111" s="181">
        <f ca="1">SUM(TblConstr[[#This Row],[Tot Alc]:[Tot GT]],TblConstr[[#This Row],[Tot Shr]:[Tot Doc]],TblConstr[[#This Row],[Dest Alc]:[Dest GT]],TblConstr[[#This Row],[Dest Shr]:[Dest Doc]])*building_employment</f>
        <v>11040</v>
      </c>
      <c r="K111" s="182"/>
      <c r="L111" s="183">
        <f ca="1">TblPop[[#This Row],[Draftees]]</f>
        <v>2894</v>
      </c>
      <c r="M111" s="183">
        <f ca="1">TblMili[[#This Row],[Unit 1]]</f>
        <v>0</v>
      </c>
      <c r="N111" s="183">
        <f ca="1">TblMili[[#This Row],[Unit 2]]</f>
        <v>1081</v>
      </c>
      <c r="O111" s="183">
        <f ca="1">TblMili[[#This Row],[Unit 3]]</f>
        <v>125</v>
      </c>
      <c r="P111" s="183">
        <f ca="1">TblMili[[#This Row],[Unit 4]]</f>
        <v>600</v>
      </c>
      <c r="Q111" s="183">
        <f ca="1">TblMili[[#This Row],[Spies]]</f>
        <v>35</v>
      </c>
      <c r="R111" s="183">
        <f ca="1">TblMili[[#This Row],[Wizards]]</f>
        <v>35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9963</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1" s="124">
        <f ca="1">MAX(-5%*TblPop[[#This Row],[Peasants]]-TblPop[[#This Row],[Draft Growth]],MIN(OFFSET(TblPop[[#This Row],[Net max]],1,0)-TblPop[[#This Row],[Peasants]]-TblPop[[#This Row],[Military]]-TblPop[[#This Row],[Draft Growth]],TblPop[[#This Row],[Modded Birth]]-TblPop[[#This Row],[Draft Growth]]))</f>
        <v>-52</v>
      </c>
      <c r="X111" s="124">
        <f ca="1">ROUND(TblPop[[#This Row],[Raw Birth]]*(1+TblPop[[#This Row],[Growth]]),0)</f>
        <v>185</v>
      </c>
      <c r="Y111" s="124">
        <f ca="1">(TblPop[[#This Row],[Peasants]]-TblPop[[#This Row],[Draft Growth]])*raw_pop_growth</f>
        <v>154.22999999999999</v>
      </c>
      <c r="Z111" s="124">
        <f ca="1">IF(TblPop[[#This Row],[Military%]]&lt;TblMili[[#This Row],[Draftrate]],ROUND(TblPop[[#This Row],[Peasants]]*Constants!$B$53,0), 0)</f>
        <v>52</v>
      </c>
      <c r="AA111" s="184"/>
      <c r="AB111" s="185">
        <f ca="1">Overview!$I$16 + IF(Magic!AD111&gt;0,Constants!$F$77) + ROUND(6*(Construction!BM112+Construction!CK111)/IF(Explore!S112&gt;0,Construction!F112-20,Construction!F112),4) + tech_6_5_2*Techs!BJ111 + tech_8_4*Techs!BT111</f>
        <v>0.2</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44409.249999999738</v>
      </c>
      <c r="C112" s="124">
        <f ca="1">OFFSET(TblPop[[#This Row],[Peasants]],-1,0)+OFFSET(TblPop[[#This Row],[Net Peasant]],-1,0)+TblMili[[#This Row],[Release Draft]]</f>
        <v>5141</v>
      </c>
      <c r="D112" s="124">
        <f ca="1">TblMili[[#This Row],[Military]]</f>
        <v>4822</v>
      </c>
      <c r="E112" s="124">
        <f ca="1">TblMili[[#This Row],[Draftees]]</f>
        <v>2946</v>
      </c>
      <c r="F112" s="124">
        <f ca="1">TblPop[[#This Row],[Peasants]]+TblPop[[#This Row],[Military]]</f>
        <v>9963</v>
      </c>
      <c r="G112" s="180">
        <f ca="1">TblPop[[#This Row],[Military]]/TblPop[[#This Row],[Total]]</f>
        <v>0.48399076583358425</v>
      </c>
      <c r="H112" s="181">
        <f ca="1">MIN(TblPop[[#This Row],[Peasants]],TblPop[[#This Row],[Jobs]])</f>
        <v>5141</v>
      </c>
      <c r="I112" s="180">
        <f ca="1">MIN(OFFSET(TblPop[[#This Row],[Jobs]],1,0)/TblPop[[#This Row],[Peasants]],1)</f>
        <v>1</v>
      </c>
      <c r="J112" s="181">
        <f ca="1">SUM(TblConstr[[#This Row],[Tot Alc]:[Tot GT]],TblConstr[[#This Row],[Tot Shr]:[Tot Doc]],TblConstr[[#This Row],[Dest Alc]:[Dest GT]],TblConstr[[#This Row],[Dest Shr]:[Dest Doc]])*building_employment</f>
        <v>11040</v>
      </c>
      <c r="K112" s="182"/>
      <c r="L112" s="183">
        <f ca="1">TblPop[[#This Row],[Draftees]]</f>
        <v>2946</v>
      </c>
      <c r="M112" s="183">
        <f ca="1">TblMili[[#This Row],[Unit 1]]</f>
        <v>0</v>
      </c>
      <c r="N112" s="183">
        <f ca="1">TblMili[[#This Row],[Unit 2]]</f>
        <v>1081</v>
      </c>
      <c r="O112" s="183">
        <f ca="1">TblMili[[#This Row],[Unit 3]]</f>
        <v>125</v>
      </c>
      <c r="P112" s="183">
        <f ca="1">TblMili[[#This Row],[Unit 4]]</f>
        <v>600</v>
      </c>
      <c r="Q112" s="183">
        <f ca="1">TblMili[[#This Row],[Spies]]</f>
        <v>35</v>
      </c>
      <c r="R112" s="183">
        <f ca="1">TblMili[[#This Row],[Wizards]]</f>
        <v>35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9963</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2" s="124">
        <f ca="1">MAX(-5%*TblPop[[#This Row],[Peasants]]-TblPop[[#This Row],[Draft Growth]],MIN(OFFSET(TblPop[[#This Row],[Net max]],1,0)-TblPop[[#This Row],[Peasants]]-TblPop[[#This Row],[Military]]-TblPop[[#This Row],[Draft Growth]],TblPop[[#This Row],[Modded Birth]]-TblPop[[#This Row],[Draft Growth]]))</f>
        <v>-51</v>
      </c>
      <c r="X112" s="124">
        <f ca="1">ROUND(TblPop[[#This Row],[Raw Birth]]*(1+TblPop[[#This Row],[Growth]]),0)</f>
        <v>183</v>
      </c>
      <c r="Y112" s="124">
        <f ca="1">(TblPop[[#This Row],[Peasants]]-TblPop[[#This Row],[Draft Growth]])*raw_pop_growth</f>
        <v>152.69999999999999</v>
      </c>
      <c r="Z112" s="124">
        <f ca="1">IF(TblPop[[#This Row],[Military%]]&lt;TblMili[[#This Row],[Draftrate]],ROUND(TblPop[[#This Row],[Peasants]]*Constants!$B$53,0), 0)</f>
        <v>51</v>
      </c>
      <c r="AA112" s="184"/>
      <c r="AB112" s="185">
        <f ca="1">Overview!$I$16 + IF(Magic!AD112&gt;0,Constants!$F$77) + ROUND(6*(Construction!BM113+Construction!CK112)/IF(Explore!S113&gt;0,Construction!F113-20,Construction!F113),4) + tech_6_5_2*Techs!BJ112 + tech_8_4*Techs!BT112</f>
        <v>0.2</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44409.291666666402</v>
      </c>
      <c r="C113" s="124">
        <f ca="1">OFFSET(TblPop[[#This Row],[Peasants]],-1,0)+OFFSET(TblPop[[#This Row],[Net Peasant]],-1,0)+TblMili[[#This Row],[Release Draft]]</f>
        <v>5090</v>
      </c>
      <c r="D113" s="124">
        <f ca="1">TblMili[[#This Row],[Military]]</f>
        <v>4873</v>
      </c>
      <c r="E113" s="124">
        <f ca="1">TblMili[[#This Row],[Draftees]]</f>
        <v>2997</v>
      </c>
      <c r="F113" s="124">
        <f ca="1">TblPop[[#This Row],[Peasants]]+TblPop[[#This Row],[Military]]</f>
        <v>9963</v>
      </c>
      <c r="G113" s="180">
        <f ca="1">TblPop[[#This Row],[Military]]/TblPop[[#This Row],[Total]]</f>
        <v>0.48910970591187392</v>
      </c>
      <c r="H113" s="181">
        <f ca="1">MIN(TblPop[[#This Row],[Peasants]],TblPop[[#This Row],[Jobs]])</f>
        <v>5090</v>
      </c>
      <c r="I113" s="180">
        <f ca="1">MIN(OFFSET(TblPop[[#This Row],[Jobs]],1,0)/TblPop[[#This Row],[Peasants]],1)</f>
        <v>1</v>
      </c>
      <c r="J113" s="181">
        <f ca="1">SUM(TblConstr[[#This Row],[Tot Alc]:[Tot GT]],TblConstr[[#This Row],[Tot Shr]:[Tot Doc]],TblConstr[[#This Row],[Dest Alc]:[Dest GT]],TblConstr[[#This Row],[Dest Shr]:[Dest Doc]])*building_employment</f>
        <v>11040</v>
      </c>
      <c r="K113" s="182"/>
      <c r="L113" s="183">
        <f ca="1">TblPop[[#This Row],[Draftees]]</f>
        <v>2997</v>
      </c>
      <c r="M113" s="183">
        <f ca="1">TblMili[[#This Row],[Unit 1]]</f>
        <v>0</v>
      </c>
      <c r="N113" s="183">
        <f ca="1">TblMili[[#This Row],[Unit 2]]</f>
        <v>1081</v>
      </c>
      <c r="O113" s="183">
        <f ca="1">TblMili[[#This Row],[Unit 3]]</f>
        <v>125</v>
      </c>
      <c r="P113" s="183">
        <f ca="1">TblMili[[#This Row],[Unit 4]]</f>
        <v>600</v>
      </c>
      <c r="Q113" s="183">
        <f ca="1">TblMili[[#This Row],[Spies]]</f>
        <v>35</v>
      </c>
      <c r="R113" s="183">
        <f ca="1">TblMili[[#This Row],[Wizards]]</f>
        <v>35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9963</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3" s="124">
        <f ca="1">MAX(-5%*TblPop[[#This Row],[Peasants]]-TblPop[[#This Row],[Draft Growth]],MIN(OFFSET(TblPop[[#This Row],[Net max]],1,0)-TblPop[[#This Row],[Peasants]]-TblPop[[#This Row],[Military]]-TblPop[[#This Row],[Draft Growth]],TblPop[[#This Row],[Modded Birth]]-TblPop[[#This Row],[Draft Growth]]))</f>
        <v>-51</v>
      </c>
      <c r="X113" s="124">
        <f ca="1">ROUND(TblPop[[#This Row],[Raw Birth]]*(1+TblPop[[#This Row],[Growth]]),0)</f>
        <v>181</v>
      </c>
      <c r="Y113" s="124">
        <f ca="1">(TblPop[[#This Row],[Peasants]]-TblPop[[#This Row],[Draft Growth]])*raw_pop_growth</f>
        <v>151.16999999999999</v>
      </c>
      <c r="Z113" s="124">
        <f ca="1">IF(TblPop[[#This Row],[Military%]]&lt;TblMili[[#This Row],[Draftrate]],ROUND(TblPop[[#This Row],[Peasants]]*Constants!$B$53,0), 0)</f>
        <v>51</v>
      </c>
      <c r="AA113" s="184"/>
      <c r="AB113" s="185">
        <f ca="1">Overview!$I$16 + IF(Magic!AD113&gt;0,Constants!$F$77) + ROUND(6*(Construction!BM114+Construction!CK113)/IF(Explore!S114&gt;0,Construction!F114-20,Construction!F114),4) + tech_6_5_2*Techs!BJ113 + tech_8_4*Techs!BT113</f>
        <v>0.2</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44409.333333333067</v>
      </c>
      <c r="C114" s="124">
        <f ca="1">OFFSET(TblPop[[#This Row],[Peasants]],-1,0)+OFFSET(TblPop[[#This Row],[Net Peasant]],-1,0)+TblMili[[#This Row],[Release Draft]]</f>
        <v>5039</v>
      </c>
      <c r="D114" s="124">
        <f ca="1">TblMili[[#This Row],[Military]]</f>
        <v>4924</v>
      </c>
      <c r="E114" s="124">
        <f ca="1">TblMili[[#This Row],[Draftees]]</f>
        <v>3048</v>
      </c>
      <c r="F114" s="124">
        <f ca="1">TblPop[[#This Row],[Peasants]]+TblPop[[#This Row],[Military]]</f>
        <v>9963</v>
      </c>
      <c r="G114" s="180">
        <f ca="1">TblPop[[#This Row],[Military]]/TblPop[[#This Row],[Total]]</f>
        <v>0.49422864599016358</v>
      </c>
      <c r="H114" s="181">
        <f ca="1">MIN(TblPop[[#This Row],[Peasants]],TblPop[[#This Row],[Jobs]])</f>
        <v>5039</v>
      </c>
      <c r="I114" s="180">
        <f ca="1">MIN(OFFSET(TblPop[[#This Row],[Jobs]],1,0)/TblPop[[#This Row],[Peasants]],1)</f>
        <v>1</v>
      </c>
      <c r="J114" s="181">
        <f ca="1">SUM(TblConstr[[#This Row],[Tot Alc]:[Tot GT]],TblConstr[[#This Row],[Tot Shr]:[Tot Doc]],TblConstr[[#This Row],[Dest Alc]:[Dest GT]],TblConstr[[#This Row],[Dest Shr]:[Dest Doc]])*building_employment</f>
        <v>11040</v>
      </c>
      <c r="K114" s="182"/>
      <c r="L114" s="183">
        <f ca="1">TblPop[[#This Row],[Draftees]]</f>
        <v>3048</v>
      </c>
      <c r="M114" s="183">
        <f ca="1">TblMili[[#This Row],[Unit 1]]</f>
        <v>0</v>
      </c>
      <c r="N114" s="183">
        <f ca="1">TblMili[[#This Row],[Unit 2]]</f>
        <v>1081</v>
      </c>
      <c r="O114" s="183">
        <f ca="1">TblMili[[#This Row],[Unit 3]]</f>
        <v>125</v>
      </c>
      <c r="P114" s="183">
        <f ca="1">TblMili[[#This Row],[Unit 4]]</f>
        <v>600</v>
      </c>
      <c r="Q114" s="183">
        <f ca="1">TblMili[[#This Row],[Spies]]</f>
        <v>35</v>
      </c>
      <c r="R114" s="183">
        <f ca="1">TblMili[[#This Row],[Wizards]]</f>
        <v>35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9963</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4" s="124">
        <f ca="1">MAX(-5%*TblPop[[#This Row],[Peasants]]-TblPop[[#This Row],[Draft Growth]],MIN(OFFSET(TblPop[[#This Row],[Net max]],1,0)-TblPop[[#This Row],[Peasants]]-TblPop[[#This Row],[Military]]-TblPop[[#This Row],[Draft Growth]],TblPop[[#This Row],[Modded Birth]]-TblPop[[#This Row],[Draft Growth]]))</f>
        <v>-50</v>
      </c>
      <c r="X114" s="124">
        <f ca="1">ROUND(TblPop[[#This Row],[Raw Birth]]*(1+TblPop[[#This Row],[Growth]]),0)</f>
        <v>180</v>
      </c>
      <c r="Y114" s="124">
        <f ca="1">(TblPop[[#This Row],[Peasants]]-TblPop[[#This Row],[Draft Growth]])*raw_pop_growth</f>
        <v>149.66999999999999</v>
      </c>
      <c r="Z114" s="124">
        <f ca="1">IF(TblPop[[#This Row],[Military%]]&lt;TblMili[[#This Row],[Draftrate]],ROUND(TblPop[[#This Row],[Peasants]]*Constants!$B$53,0), 0)</f>
        <v>50</v>
      </c>
      <c r="AA114" s="184"/>
      <c r="AB114" s="185">
        <f ca="1">Overview!$I$16 + IF(Magic!AD114&gt;0,Constants!$F$77) + ROUND(6*(Construction!BM115+Construction!CK114)/IF(Explore!S115&gt;0,Construction!F115-20,Construction!F115),4) + tech_6_5_2*Techs!BJ114 + tech_8_4*Techs!BT114</f>
        <v>0.2</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44409.374999999731</v>
      </c>
      <c r="C115" s="124">
        <f ca="1">OFFSET(TblPop[[#This Row],[Peasants]],-1,0)+OFFSET(TblPop[[#This Row],[Net Peasant]],-1,0)+TblMili[[#This Row],[Release Draft]]</f>
        <v>4989</v>
      </c>
      <c r="D115" s="124">
        <f ca="1">TblMili[[#This Row],[Military]]</f>
        <v>4974</v>
      </c>
      <c r="E115" s="124">
        <f ca="1">TblMili[[#This Row],[Draftees]]</f>
        <v>3098</v>
      </c>
      <c r="F115" s="124">
        <f ca="1">TblPop[[#This Row],[Peasants]]+TblPop[[#This Row],[Military]]</f>
        <v>9963</v>
      </c>
      <c r="G115" s="180">
        <f ca="1">TblPop[[#This Row],[Military]]/TblPop[[#This Row],[Total]]</f>
        <v>0.49924721469436917</v>
      </c>
      <c r="H115" s="181">
        <f ca="1">MIN(TblPop[[#This Row],[Peasants]],TblPop[[#This Row],[Jobs]])</f>
        <v>4989</v>
      </c>
      <c r="I115" s="180">
        <f ca="1">MIN(OFFSET(TblPop[[#This Row],[Jobs]],1,0)/TblPop[[#This Row],[Peasants]],1)</f>
        <v>1</v>
      </c>
      <c r="J115" s="181">
        <f ca="1">SUM(TblConstr[[#This Row],[Tot Alc]:[Tot GT]],TblConstr[[#This Row],[Tot Shr]:[Tot Doc]],TblConstr[[#This Row],[Dest Alc]:[Dest GT]],TblConstr[[#This Row],[Dest Shr]:[Dest Doc]])*building_employment</f>
        <v>11040</v>
      </c>
      <c r="K115" s="182"/>
      <c r="L115" s="183">
        <f ca="1">TblPop[[#This Row],[Draftees]]</f>
        <v>3098</v>
      </c>
      <c r="M115" s="183">
        <f ca="1">TblMili[[#This Row],[Unit 1]]</f>
        <v>0</v>
      </c>
      <c r="N115" s="183">
        <f ca="1">TblMili[[#This Row],[Unit 2]]</f>
        <v>1081</v>
      </c>
      <c r="O115" s="183">
        <f ca="1">TblMili[[#This Row],[Unit 3]]</f>
        <v>125</v>
      </c>
      <c r="P115" s="183">
        <f ca="1">TblMili[[#This Row],[Unit 4]]</f>
        <v>600</v>
      </c>
      <c r="Q115" s="183">
        <f ca="1">TblMili[[#This Row],[Spies]]</f>
        <v>35</v>
      </c>
      <c r="R115" s="183">
        <f ca="1">TblMili[[#This Row],[Wizards]]</f>
        <v>35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9963</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5" s="124">
        <f ca="1">MAX(-5%*TblPop[[#This Row],[Peasants]]-TblPop[[#This Row],[Draft Growth]],MIN(OFFSET(TblPop[[#This Row],[Net max]],1,0)-TblPop[[#This Row],[Peasants]]-TblPop[[#This Row],[Military]]-TblPop[[#This Row],[Draft Growth]],TblPop[[#This Row],[Modded Birth]]-TblPop[[#This Row],[Draft Growth]]))</f>
        <v>-50</v>
      </c>
      <c r="X115" s="124">
        <f ca="1">ROUND(TblPop[[#This Row],[Raw Birth]]*(1+TblPop[[#This Row],[Growth]]),0)</f>
        <v>178</v>
      </c>
      <c r="Y115" s="124">
        <f ca="1">(TblPop[[#This Row],[Peasants]]-TblPop[[#This Row],[Draft Growth]])*raw_pop_growth</f>
        <v>148.16999999999999</v>
      </c>
      <c r="Z115" s="124">
        <f ca="1">IF(TblPop[[#This Row],[Military%]]&lt;TblMili[[#This Row],[Draftrate]],ROUND(TblPop[[#This Row],[Peasants]]*Constants!$B$53,0), 0)</f>
        <v>50</v>
      </c>
      <c r="AA115" s="184"/>
      <c r="AB115" s="185">
        <f ca="1">Overview!$I$16 + IF(Magic!AD115&gt;0,Constants!$F$77) + ROUND(6*(Construction!BM116+Construction!CK115)/IF(Explore!S116&gt;0,Construction!F116-20,Construction!F116),4) + tech_6_5_2*Techs!BJ115 + tech_8_4*Techs!BT115</f>
        <v>0.2</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44409.416666666395</v>
      </c>
      <c r="C116" s="124">
        <f ca="1">OFFSET(TblPop[[#This Row],[Peasants]],-1,0)+OFFSET(TblPop[[#This Row],[Net Peasant]],-1,0)+TblMili[[#This Row],[Release Draft]]</f>
        <v>4939</v>
      </c>
      <c r="D116" s="124">
        <f ca="1">TblMili[[#This Row],[Military]]</f>
        <v>5024</v>
      </c>
      <c r="E116" s="124">
        <f ca="1">TblMili[[#This Row],[Draftees]]</f>
        <v>3148</v>
      </c>
      <c r="F116" s="124">
        <f ca="1">TblPop[[#This Row],[Peasants]]+TblPop[[#This Row],[Military]]</f>
        <v>9963</v>
      </c>
      <c r="G116" s="180">
        <f ca="1">TblPop[[#This Row],[Military]]/TblPop[[#This Row],[Total]]</f>
        <v>0.50426578339857475</v>
      </c>
      <c r="H116" s="181">
        <f ca="1">MIN(TblPop[[#This Row],[Peasants]],TblPop[[#This Row],[Jobs]])</f>
        <v>4939</v>
      </c>
      <c r="I116" s="180">
        <f ca="1">MIN(OFFSET(TblPop[[#This Row],[Jobs]],1,0)/TblPop[[#This Row],[Peasants]],1)</f>
        <v>1</v>
      </c>
      <c r="J116" s="181">
        <f ca="1">SUM(TblConstr[[#This Row],[Tot Alc]:[Tot GT]],TblConstr[[#This Row],[Tot Shr]:[Tot Doc]],TblConstr[[#This Row],[Dest Alc]:[Dest GT]],TblConstr[[#This Row],[Dest Shr]:[Dest Doc]])*building_employment</f>
        <v>11040</v>
      </c>
      <c r="K116" s="182"/>
      <c r="L116" s="183">
        <f ca="1">TblPop[[#This Row],[Draftees]]</f>
        <v>3148</v>
      </c>
      <c r="M116" s="183">
        <f ca="1">TblMili[[#This Row],[Unit 1]]</f>
        <v>0</v>
      </c>
      <c r="N116" s="183">
        <f ca="1">TblMili[[#This Row],[Unit 2]]</f>
        <v>1081</v>
      </c>
      <c r="O116" s="183">
        <f ca="1">TblMili[[#This Row],[Unit 3]]</f>
        <v>125</v>
      </c>
      <c r="P116" s="183">
        <f ca="1">TblMili[[#This Row],[Unit 4]]</f>
        <v>600</v>
      </c>
      <c r="Q116" s="183">
        <f ca="1">TblMili[[#This Row],[Spies]]</f>
        <v>35</v>
      </c>
      <c r="R116" s="183">
        <f ca="1">TblMili[[#This Row],[Wizards]]</f>
        <v>35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9963</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6" s="124">
        <f ca="1">MAX(-5%*TblPop[[#This Row],[Peasants]]-TblPop[[#This Row],[Draft Growth]],MIN(OFFSET(TblPop[[#This Row],[Net max]],1,0)-TblPop[[#This Row],[Peasants]]-TblPop[[#This Row],[Military]]-TblPop[[#This Row],[Draft Growth]],TblPop[[#This Row],[Modded Birth]]-TblPop[[#This Row],[Draft Growth]]))</f>
        <v>-49</v>
      </c>
      <c r="X116" s="124">
        <f ca="1">ROUND(TblPop[[#This Row],[Raw Birth]]*(1+TblPop[[#This Row],[Growth]]),0)</f>
        <v>176</v>
      </c>
      <c r="Y116" s="124">
        <f ca="1">(TblPop[[#This Row],[Peasants]]-TblPop[[#This Row],[Draft Growth]])*raw_pop_growth</f>
        <v>146.69999999999999</v>
      </c>
      <c r="Z116" s="124">
        <f ca="1">IF(TblPop[[#This Row],[Military%]]&lt;TblMili[[#This Row],[Draftrate]],ROUND(TblPop[[#This Row],[Peasants]]*Constants!$B$53,0), 0)</f>
        <v>49</v>
      </c>
      <c r="AA116" s="184"/>
      <c r="AB116" s="185">
        <f ca="1">Overview!$I$16 + IF(Magic!AD116&gt;0,Constants!$F$77) + ROUND(6*(Construction!BM117+Construction!CK116)/IF(Explore!S117&gt;0,Construction!F117-20,Construction!F117),4) + tech_6_5_2*Techs!BJ116 + tech_8_4*Techs!BT116</f>
        <v>0.2</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44409.458333333059</v>
      </c>
      <c r="C117" s="124">
        <f ca="1">OFFSET(TblPop[[#This Row],[Peasants]],-1,0)+OFFSET(TblPop[[#This Row],[Net Peasant]],-1,0)+TblMili[[#This Row],[Release Draft]]</f>
        <v>4890</v>
      </c>
      <c r="D117" s="124">
        <f ca="1">TblMili[[#This Row],[Military]]</f>
        <v>5073</v>
      </c>
      <c r="E117" s="124">
        <f ca="1">TblMili[[#This Row],[Draftees]]</f>
        <v>3197</v>
      </c>
      <c r="F117" s="124">
        <f ca="1">TblPop[[#This Row],[Peasants]]+TblPop[[#This Row],[Military]]</f>
        <v>9963</v>
      </c>
      <c r="G117" s="180">
        <f ca="1">TblPop[[#This Row],[Military]]/TblPop[[#This Row],[Total]]</f>
        <v>0.50918398072869619</v>
      </c>
      <c r="H117" s="181">
        <f ca="1">MIN(TblPop[[#This Row],[Peasants]],TblPop[[#This Row],[Jobs]])</f>
        <v>4890</v>
      </c>
      <c r="I117" s="180">
        <f ca="1">MIN(OFFSET(TblPop[[#This Row],[Jobs]],1,0)/TblPop[[#This Row],[Peasants]],1)</f>
        <v>1</v>
      </c>
      <c r="J117" s="181">
        <f ca="1">SUM(TblConstr[[#This Row],[Tot Alc]:[Tot GT]],TblConstr[[#This Row],[Tot Shr]:[Tot Doc]],TblConstr[[#This Row],[Dest Alc]:[Dest GT]],TblConstr[[#This Row],[Dest Shr]:[Dest Doc]])*building_employment</f>
        <v>11040</v>
      </c>
      <c r="K117" s="182"/>
      <c r="L117" s="183">
        <f ca="1">TblPop[[#This Row],[Draftees]]</f>
        <v>3197</v>
      </c>
      <c r="M117" s="183">
        <f ca="1">TblMili[[#This Row],[Unit 1]]</f>
        <v>0</v>
      </c>
      <c r="N117" s="183">
        <f ca="1">TblMili[[#This Row],[Unit 2]]</f>
        <v>1081</v>
      </c>
      <c r="O117" s="183">
        <f ca="1">TblMili[[#This Row],[Unit 3]]</f>
        <v>125</v>
      </c>
      <c r="P117" s="183">
        <f ca="1">TblMili[[#This Row],[Unit 4]]</f>
        <v>600</v>
      </c>
      <c r="Q117" s="183">
        <f ca="1">TblMili[[#This Row],[Spies]]</f>
        <v>35</v>
      </c>
      <c r="R117" s="183">
        <f ca="1">TblMili[[#This Row],[Wizards]]</f>
        <v>35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9963</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7" s="124">
        <f ca="1">MAX(-5%*TblPop[[#This Row],[Peasants]]-TblPop[[#This Row],[Draft Growth]],MIN(OFFSET(TblPop[[#This Row],[Net max]],1,0)-TblPop[[#This Row],[Peasants]]-TblPop[[#This Row],[Military]]-TblPop[[#This Row],[Draft Growth]],TblPop[[#This Row],[Modded Birth]]-TblPop[[#This Row],[Draft Growth]]))</f>
        <v>-49</v>
      </c>
      <c r="X117" s="124">
        <f ca="1">ROUND(TblPop[[#This Row],[Raw Birth]]*(1+TblPop[[#This Row],[Growth]]),0)</f>
        <v>174</v>
      </c>
      <c r="Y117" s="124">
        <f ca="1">(TblPop[[#This Row],[Peasants]]-TblPop[[#This Row],[Draft Growth]])*raw_pop_growth</f>
        <v>145.22999999999999</v>
      </c>
      <c r="Z117" s="124">
        <f ca="1">IF(TblPop[[#This Row],[Military%]]&lt;TblMili[[#This Row],[Draftrate]],ROUND(TblPop[[#This Row],[Peasants]]*Constants!$B$53,0), 0)</f>
        <v>49</v>
      </c>
      <c r="AA117" s="184"/>
      <c r="AB117" s="185">
        <f ca="1">Overview!$I$16 + IF(Magic!AD117&gt;0,Constants!$F$77) + ROUND(6*(Construction!BM118+Construction!CK117)/IF(Explore!S118&gt;0,Construction!F118-20,Construction!F118),4) + tech_6_5_2*Techs!BJ117 + tech_8_4*Techs!BT117</f>
        <v>0.2</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44409.499999999724</v>
      </c>
      <c r="C118" s="124">
        <f ca="1">OFFSET(TblPop[[#This Row],[Peasants]],-1,0)+OFFSET(TblPop[[#This Row],[Net Peasant]],-1,0)+TblMili[[#This Row],[Release Draft]]</f>
        <v>4841</v>
      </c>
      <c r="D118" s="124">
        <f ca="1">TblMili[[#This Row],[Military]]</f>
        <v>5122</v>
      </c>
      <c r="E118" s="124">
        <f ca="1">TblMili[[#This Row],[Draftees]]</f>
        <v>3246</v>
      </c>
      <c r="F118" s="124">
        <f ca="1">TblPop[[#This Row],[Peasants]]+TblPop[[#This Row],[Military]]</f>
        <v>9963</v>
      </c>
      <c r="G118" s="180">
        <f ca="1">TblPop[[#This Row],[Military]]/TblPop[[#This Row],[Total]]</f>
        <v>0.51410217805881764</v>
      </c>
      <c r="H118" s="181">
        <f ca="1">MIN(TblPop[[#This Row],[Peasants]],TblPop[[#This Row],[Jobs]])</f>
        <v>4841</v>
      </c>
      <c r="I118" s="180">
        <f ca="1">MIN(OFFSET(TblPop[[#This Row],[Jobs]],1,0)/TblPop[[#This Row],[Peasants]],1)</f>
        <v>1</v>
      </c>
      <c r="J118" s="181">
        <f ca="1">SUM(TblConstr[[#This Row],[Tot Alc]:[Tot GT]],TblConstr[[#This Row],[Tot Shr]:[Tot Doc]],TblConstr[[#This Row],[Dest Alc]:[Dest GT]],TblConstr[[#This Row],[Dest Shr]:[Dest Doc]])*building_employment</f>
        <v>11040</v>
      </c>
      <c r="K118" s="182"/>
      <c r="L118" s="183">
        <f ca="1">TblPop[[#This Row],[Draftees]]</f>
        <v>3246</v>
      </c>
      <c r="M118" s="183">
        <f ca="1">TblMili[[#This Row],[Unit 1]]</f>
        <v>0</v>
      </c>
      <c r="N118" s="183">
        <f ca="1">TblMili[[#This Row],[Unit 2]]</f>
        <v>1081</v>
      </c>
      <c r="O118" s="183">
        <f ca="1">TblMili[[#This Row],[Unit 3]]</f>
        <v>125</v>
      </c>
      <c r="P118" s="183">
        <f ca="1">TblMili[[#This Row],[Unit 4]]</f>
        <v>600</v>
      </c>
      <c r="Q118" s="183">
        <f ca="1">TblMili[[#This Row],[Spies]]</f>
        <v>35</v>
      </c>
      <c r="R118" s="183">
        <f ca="1">TblMili[[#This Row],[Wizards]]</f>
        <v>35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9963</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8" s="124">
        <f ca="1">MAX(-5%*TblPop[[#This Row],[Peasants]]-TblPop[[#This Row],[Draft Growth]],MIN(OFFSET(TblPop[[#This Row],[Net max]],1,0)-TblPop[[#This Row],[Peasants]]-TblPop[[#This Row],[Military]]-TblPop[[#This Row],[Draft Growth]],TblPop[[#This Row],[Modded Birth]]-TblPop[[#This Row],[Draft Growth]]))</f>
        <v>-48</v>
      </c>
      <c r="X118" s="124">
        <f ca="1">ROUND(TblPop[[#This Row],[Raw Birth]]*(1+TblPop[[#This Row],[Growth]]),0)</f>
        <v>173</v>
      </c>
      <c r="Y118" s="124">
        <f ca="1">(TblPop[[#This Row],[Peasants]]-TblPop[[#This Row],[Draft Growth]])*raw_pop_growth</f>
        <v>143.79</v>
      </c>
      <c r="Z118" s="124">
        <f ca="1">IF(TblPop[[#This Row],[Military%]]&lt;TblMili[[#This Row],[Draftrate]],ROUND(TblPop[[#This Row],[Peasants]]*Constants!$B$53,0), 0)</f>
        <v>48</v>
      </c>
      <c r="AA118" s="184"/>
      <c r="AB118" s="185">
        <f ca="1">Overview!$I$16 + IF(Magic!AD118&gt;0,Constants!$F$77) + ROUND(6*(Construction!BM119+Construction!CK118)/IF(Explore!S119&gt;0,Construction!F119-20,Construction!F119),4) + tech_6_5_2*Techs!BJ118 + tech_8_4*Techs!BT118</f>
        <v>0.2</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44409.541666666388</v>
      </c>
      <c r="C119" s="124">
        <f ca="1">OFFSET(TblPop[[#This Row],[Peasants]],-1,0)+OFFSET(TblPop[[#This Row],[Net Peasant]],-1,0)+TblMili[[#This Row],[Release Draft]]</f>
        <v>4793</v>
      </c>
      <c r="D119" s="124">
        <f ca="1">TblMili[[#This Row],[Military]]</f>
        <v>5170</v>
      </c>
      <c r="E119" s="124">
        <f ca="1">TblMili[[#This Row],[Draftees]]</f>
        <v>3294</v>
      </c>
      <c r="F119" s="124">
        <f ca="1">TblPop[[#This Row],[Peasants]]+TblPop[[#This Row],[Military]]</f>
        <v>9963</v>
      </c>
      <c r="G119" s="180">
        <f ca="1">TblPop[[#This Row],[Military]]/TblPop[[#This Row],[Total]]</f>
        <v>0.51892000401485494</v>
      </c>
      <c r="H119" s="181">
        <f ca="1">MIN(TblPop[[#This Row],[Peasants]],TblPop[[#This Row],[Jobs]])</f>
        <v>4793</v>
      </c>
      <c r="I119" s="180">
        <f ca="1">MIN(OFFSET(TblPop[[#This Row],[Jobs]],1,0)/TblPop[[#This Row],[Peasants]],1)</f>
        <v>1</v>
      </c>
      <c r="J119" s="181">
        <f ca="1">SUM(TblConstr[[#This Row],[Tot Alc]:[Tot GT]],TblConstr[[#This Row],[Tot Shr]:[Tot Doc]],TblConstr[[#This Row],[Dest Alc]:[Dest GT]],TblConstr[[#This Row],[Dest Shr]:[Dest Doc]])*building_employment</f>
        <v>11040</v>
      </c>
      <c r="K119" s="182"/>
      <c r="L119" s="183">
        <f ca="1">TblPop[[#This Row],[Draftees]]</f>
        <v>3294</v>
      </c>
      <c r="M119" s="183">
        <f ca="1">TblMili[[#This Row],[Unit 1]]</f>
        <v>0</v>
      </c>
      <c r="N119" s="183">
        <f ca="1">TblMili[[#This Row],[Unit 2]]</f>
        <v>1081</v>
      </c>
      <c r="O119" s="183">
        <f ca="1">TblMili[[#This Row],[Unit 3]]</f>
        <v>125</v>
      </c>
      <c r="P119" s="183">
        <f ca="1">TblMili[[#This Row],[Unit 4]]</f>
        <v>600</v>
      </c>
      <c r="Q119" s="183">
        <f ca="1">TblMili[[#This Row],[Spies]]</f>
        <v>35</v>
      </c>
      <c r="R119" s="183">
        <f ca="1">TblMili[[#This Row],[Wizards]]</f>
        <v>35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9963</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9" s="124">
        <f ca="1">MAX(-5%*TblPop[[#This Row],[Peasants]]-TblPop[[#This Row],[Draft Growth]],MIN(OFFSET(TblPop[[#This Row],[Net max]],1,0)-TblPop[[#This Row],[Peasants]]-TblPop[[#This Row],[Military]]-TblPop[[#This Row],[Draft Growth]],TblPop[[#This Row],[Modded Birth]]-TblPop[[#This Row],[Draft Growth]]))</f>
        <v>-48</v>
      </c>
      <c r="X119" s="124">
        <f ca="1">ROUND(TblPop[[#This Row],[Raw Birth]]*(1+TblPop[[#This Row],[Growth]]),0)</f>
        <v>171</v>
      </c>
      <c r="Y119" s="124">
        <f ca="1">(TblPop[[#This Row],[Peasants]]-TblPop[[#This Row],[Draft Growth]])*raw_pop_growth</f>
        <v>142.35</v>
      </c>
      <c r="Z119" s="124">
        <f ca="1">IF(TblPop[[#This Row],[Military%]]&lt;TblMili[[#This Row],[Draftrate]],ROUND(TblPop[[#This Row],[Peasants]]*Constants!$B$53,0), 0)</f>
        <v>48</v>
      </c>
      <c r="AA119" s="184"/>
      <c r="AB119" s="185">
        <f ca="1">Overview!$I$16 + IF(Magic!AD119&gt;0,Constants!$F$77) + ROUND(6*(Construction!BM120+Construction!CK119)/IF(Explore!S120&gt;0,Construction!F120-20,Construction!F120),4) + tech_6_5_2*Techs!BJ119 + tech_8_4*Techs!BT119</f>
        <v>0.2</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44409.583333333052</v>
      </c>
      <c r="C120" s="124">
        <f ca="1">OFFSET(TblPop[[#This Row],[Peasants]],-1,0)+OFFSET(TblPop[[#This Row],[Net Peasant]],-1,0)+TblMili[[#This Row],[Release Draft]]</f>
        <v>4745</v>
      </c>
      <c r="D120" s="124">
        <f ca="1">TblMili[[#This Row],[Military]]</f>
        <v>5218</v>
      </c>
      <c r="E120" s="124">
        <f ca="1">TblMili[[#This Row],[Draftees]]</f>
        <v>3342</v>
      </c>
      <c r="F120" s="124">
        <f ca="1">TblPop[[#This Row],[Peasants]]+TblPop[[#This Row],[Military]]</f>
        <v>9963</v>
      </c>
      <c r="G120" s="180">
        <f ca="1">TblPop[[#This Row],[Military]]/TblPop[[#This Row],[Total]]</f>
        <v>0.52373782997089235</v>
      </c>
      <c r="H120" s="181">
        <f ca="1">MIN(TblPop[[#This Row],[Peasants]],TblPop[[#This Row],[Jobs]])</f>
        <v>4745</v>
      </c>
      <c r="I120" s="180">
        <f ca="1">MIN(OFFSET(TblPop[[#This Row],[Jobs]],1,0)/TblPop[[#This Row],[Peasants]],1)</f>
        <v>1</v>
      </c>
      <c r="J120" s="181">
        <f ca="1">SUM(TblConstr[[#This Row],[Tot Alc]:[Tot GT]],TblConstr[[#This Row],[Tot Shr]:[Tot Doc]],TblConstr[[#This Row],[Dest Alc]:[Dest GT]],TblConstr[[#This Row],[Dest Shr]:[Dest Doc]])*building_employment</f>
        <v>11040</v>
      </c>
      <c r="K120" s="182"/>
      <c r="L120" s="183">
        <f ca="1">TblPop[[#This Row],[Draftees]]</f>
        <v>3342</v>
      </c>
      <c r="M120" s="183">
        <f ca="1">TblMili[[#This Row],[Unit 1]]</f>
        <v>0</v>
      </c>
      <c r="N120" s="183">
        <f ca="1">TblMili[[#This Row],[Unit 2]]</f>
        <v>1081</v>
      </c>
      <c r="O120" s="183">
        <f ca="1">TblMili[[#This Row],[Unit 3]]</f>
        <v>125</v>
      </c>
      <c r="P120" s="183">
        <f ca="1">TblMili[[#This Row],[Unit 4]]</f>
        <v>600</v>
      </c>
      <c r="Q120" s="183">
        <f ca="1">TblMili[[#This Row],[Spies]]</f>
        <v>35</v>
      </c>
      <c r="R120" s="183">
        <f ca="1">TblMili[[#This Row],[Wizards]]</f>
        <v>35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9963</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0" s="124">
        <f ca="1">MAX(-5%*TblPop[[#This Row],[Peasants]]-TblPop[[#This Row],[Draft Growth]],MIN(OFFSET(TblPop[[#This Row],[Net max]],1,0)-TblPop[[#This Row],[Peasants]]-TblPop[[#This Row],[Military]]-TblPop[[#This Row],[Draft Growth]],TblPop[[#This Row],[Modded Birth]]-TblPop[[#This Row],[Draft Growth]]))</f>
        <v>-47</v>
      </c>
      <c r="X120" s="124">
        <f ca="1">ROUND(TblPop[[#This Row],[Raw Birth]]*(1+TblPop[[#This Row],[Growth]]),0)</f>
        <v>169</v>
      </c>
      <c r="Y120" s="124">
        <f ca="1">(TblPop[[#This Row],[Peasants]]-TblPop[[#This Row],[Draft Growth]])*raw_pop_growth</f>
        <v>140.94</v>
      </c>
      <c r="Z120" s="124">
        <f ca="1">IF(TblPop[[#This Row],[Military%]]&lt;TblMili[[#This Row],[Draftrate]],ROUND(TblPop[[#This Row],[Peasants]]*Constants!$B$53,0), 0)</f>
        <v>47</v>
      </c>
      <c r="AA120" s="184"/>
      <c r="AB120" s="185">
        <f ca="1">Overview!$I$16 + IF(Magic!AD120&gt;0,Constants!$F$77) + ROUND(6*(Construction!BM121+Construction!CK120)/IF(Explore!S121&gt;0,Construction!F121-20,Construction!F121),4) + tech_6_5_2*Techs!BJ120 + tech_8_4*Techs!BT120</f>
        <v>0.2</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44409.624999999716</v>
      </c>
      <c r="C121" s="124">
        <f ca="1">OFFSET(TblPop[[#This Row],[Peasants]],-1,0)+OFFSET(TblPop[[#This Row],[Net Peasant]],-1,0)+TblMili[[#This Row],[Release Draft]]</f>
        <v>4698</v>
      </c>
      <c r="D121" s="124">
        <f ca="1">TblMili[[#This Row],[Military]]</f>
        <v>5265</v>
      </c>
      <c r="E121" s="124">
        <f ca="1">TblMili[[#This Row],[Draftees]]</f>
        <v>3389</v>
      </c>
      <c r="F121" s="124">
        <f ca="1">TblPop[[#This Row],[Peasants]]+TblPop[[#This Row],[Military]]</f>
        <v>9963</v>
      </c>
      <c r="G121" s="180">
        <f ca="1">TblPop[[#This Row],[Military]]/TblPop[[#This Row],[Total]]</f>
        <v>0.52845528455284552</v>
      </c>
      <c r="H121" s="181">
        <f ca="1">MIN(TblPop[[#This Row],[Peasants]],TblPop[[#This Row],[Jobs]])</f>
        <v>4698</v>
      </c>
      <c r="I121" s="180">
        <f ca="1">MIN(OFFSET(TblPop[[#This Row],[Jobs]],1,0)/TblPop[[#This Row],[Peasants]],1)</f>
        <v>1</v>
      </c>
      <c r="J121" s="181">
        <f ca="1">SUM(TblConstr[[#This Row],[Tot Alc]:[Tot GT]],TblConstr[[#This Row],[Tot Shr]:[Tot Doc]],TblConstr[[#This Row],[Dest Alc]:[Dest GT]],TblConstr[[#This Row],[Dest Shr]:[Dest Doc]])*building_employment</f>
        <v>11040</v>
      </c>
      <c r="K121" s="182"/>
      <c r="L121" s="183">
        <f ca="1">TblPop[[#This Row],[Draftees]]</f>
        <v>3389</v>
      </c>
      <c r="M121" s="183">
        <f ca="1">TblMili[[#This Row],[Unit 1]]</f>
        <v>0</v>
      </c>
      <c r="N121" s="183">
        <f ca="1">TblMili[[#This Row],[Unit 2]]</f>
        <v>1081</v>
      </c>
      <c r="O121" s="183">
        <f ca="1">TblMili[[#This Row],[Unit 3]]</f>
        <v>125</v>
      </c>
      <c r="P121" s="183">
        <f ca="1">TblMili[[#This Row],[Unit 4]]</f>
        <v>600</v>
      </c>
      <c r="Q121" s="183">
        <f ca="1">TblMili[[#This Row],[Spies]]</f>
        <v>35</v>
      </c>
      <c r="R121" s="183">
        <f ca="1">TblMili[[#This Row],[Wizards]]</f>
        <v>35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9963</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1" s="124">
        <f ca="1">MAX(-5%*TblPop[[#This Row],[Peasants]]-TblPop[[#This Row],[Draft Growth]],MIN(OFFSET(TblPop[[#This Row],[Net max]],1,0)-TblPop[[#This Row],[Peasants]]-TblPop[[#This Row],[Military]]-TblPop[[#This Row],[Draft Growth]],TblPop[[#This Row],[Modded Birth]]-TblPop[[#This Row],[Draft Growth]]))</f>
        <v>-47</v>
      </c>
      <c r="X121" s="124">
        <f ca="1">ROUND(TblPop[[#This Row],[Raw Birth]]*(1+TblPop[[#This Row],[Growth]]),0)</f>
        <v>167</v>
      </c>
      <c r="Y121" s="124">
        <f ca="1">(TblPop[[#This Row],[Peasants]]-TblPop[[#This Row],[Draft Growth]])*raw_pop_growth</f>
        <v>139.53</v>
      </c>
      <c r="Z121" s="124">
        <f ca="1">IF(TblPop[[#This Row],[Military%]]&lt;TblMili[[#This Row],[Draftrate]],ROUND(TblPop[[#This Row],[Peasants]]*Constants!$B$53,0), 0)</f>
        <v>47</v>
      </c>
      <c r="AA121" s="184"/>
      <c r="AB121" s="185">
        <f ca="1">Overview!$I$16 + IF(Magic!AD121&gt;0,Constants!$F$77) + ROUND(6*(Construction!BM122+Construction!CK121)/IF(Explore!S122&gt;0,Construction!F122-20,Construction!F122),4) + tech_6_5_2*Techs!BJ121 + tech_8_4*Techs!BT121</f>
        <v>0.2</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44409.66666666638</v>
      </c>
      <c r="C122" s="124">
        <f ca="1">OFFSET(TblPop[[#This Row],[Peasants]],-1,0)+OFFSET(TblPop[[#This Row],[Net Peasant]],-1,0)+TblMili[[#This Row],[Release Draft]]</f>
        <v>4651</v>
      </c>
      <c r="D122" s="124">
        <f ca="1">TblMili[[#This Row],[Military]]</f>
        <v>5312</v>
      </c>
      <c r="E122" s="124">
        <f ca="1">TblMili[[#This Row],[Draftees]]</f>
        <v>3436</v>
      </c>
      <c r="F122" s="124">
        <f ca="1">TblPop[[#This Row],[Peasants]]+TblPop[[#This Row],[Military]]</f>
        <v>9963</v>
      </c>
      <c r="G122" s="180">
        <f ca="1">TblPop[[#This Row],[Military]]/TblPop[[#This Row],[Total]]</f>
        <v>0.53317273913479879</v>
      </c>
      <c r="H122" s="181">
        <f ca="1">MIN(TblPop[[#This Row],[Peasants]],TblPop[[#This Row],[Jobs]])</f>
        <v>4651</v>
      </c>
      <c r="I122" s="180">
        <f ca="1">MIN(OFFSET(TblPop[[#This Row],[Jobs]],1,0)/TblPop[[#This Row],[Peasants]],1)</f>
        <v>1</v>
      </c>
      <c r="J122" s="181">
        <f ca="1">SUM(TblConstr[[#This Row],[Tot Alc]:[Tot GT]],TblConstr[[#This Row],[Tot Shr]:[Tot Doc]],TblConstr[[#This Row],[Dest Alc]:[Dest GT]],TblConstr[[#This Row],[Dest Shr]:[Dest Doc]])*building_employment</f>
        <v>11040</v>
      </c>
      <c r="K122" s="182"/>
      <c r="L122" s="183">
        <f ca="1">TblPop[[#This Row],[Draftees]]</f>
        <v>3436</v>
      </c>
      <c r="M122" s="183">
        <f ca="1">TblMili[[#This Row],[Unit 1]]</f>
        <v>0</v>
      </c>
      <c r="N122" s="183">
        <f ca="1">TblMili[[#This Row],[Unit 2]]</f>
        <v>1081</v>
      </c>
      <c r="O122" s="183">
        <f ca="1">TblMili[[#This Row],[Unit 3]]</f>
        <v>125</v>
      </c>
      <c r="P122" s="183">
        <f ca="1">TblMili[[#This Row],[Unit 4]]</f>
        <v>600</v>
      </c>
      <c r="Q122" s="183">
        <f ca="1">TblMili[[#This Row],[Spies]]</f>
        <v>35</v>
      </c>
      <c r="R122" s="183">
        <f ca="1">TblMili[[#This Row],[Wizards]]</f>
        <v>35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9963</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2" s="124">
        <f ca="1">MAX(-5%*TblPop[[#This Row],[Peasants]]-TblPop[[#This Row],[Draft Growth]],MIN(OFFSET(TblPop[[#This Row],[Net max]],1,0)-TblPop[[#This Row],[Peasants]]-TblPop[[#This Row],[Military]]-TblPop[[#This Row],[Draft Growth]],TblPop[[#This Row],[Modded Birth]]-TblPop[[#This Row],[Draft Growth]]))</f>
        <v>-47</v>
      </c>
      <c r="X122" s="124">
        <f ca="1">ROUND(TblPop[[#This Row],[Raw Birth]]*(1+TblPop[[#This Row],[Growth]]),0)</f>
        <v>166</v>
      </c>
      <c r="Y122" s="124">
        <f ca="1">(TblPop[[#This Row],[Peasants]]-TblPop[[#This Row],[Draft Growth]])*raw_pop_growth</f>
        <v>138.12</v>
      </c>
      <c r="Z122" s="124">
        <f ca="1">IF(TblPop[[#This Row],[Military%]]&lt;TblMili[[#This Row],[Draftrate]],ROUND(TblPop[[#This Row],[Peasants]]*Constants!$B$53,0), 0)</f>
        <v>47</v>
      </c>
      <c r="AA122" s="184"/>
      <c r="AB122" s="185">
        <f ca="1">Overview!$I$16 + IF(Magic!AD122&gt;0,Constants!$F$77) + ROUND(6*(Construction!BM123+Construction!CK122)/IF(Explore!S123&gt;0,Construction!F123-20,Construction!F123),4) + tech_6_5_2*Techs!BJ122 + tech_8_4*Techs!BT122</f>
        <v>0.2</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44409.708333333045</v>
      </c>
      <c r="C123" s="124">
        <f ca="1">OFFSET(TblPop[[#This Row],[Peasants]],-1,0)+OFFSET(TblPop[[#This Row],[Net Peasant]],-1,0)+TblMili[[#This Row],[Release Draft]]</f>
        <v>4604</v>
      </c>
      <c r="D123" s="124">
        <f ca="1">TblMili[[#This Row],[Military]]</f>
        <v>5359</v>
      </c>
      <c r="E123" s="124">
        <f ca="1">TblMili[[#This Row],[Draftees]]</f>
        <v>3483</v>
      </c>
      <c r="F123" s="124">
        <f ca="1">TblPop[[#This Row],[Peasants]]+TblPop[[#This Row],[Military]]</f>
        <v>9963</v>
      </c>
      <c r="G123" s="180">
        <f ca="1">TblPop[[#This Row],[Military]]/TblPop[[#This Row],[Total]]</f>
        <v>0.53789019371675195</v>
      </c>
      <c r="H123" s="181">
        <f ca="1">MIN(TblPop[[#This Row],[Peasants]],TblPop[[#This Row],[Jobs]])</f>
        <v>4604</v>
      </c>
      <c r="I123" s="180">
        <f ca="1">MIN(OFFSET(TblPop[[#This Row],[Jobs]],1,0)/TblPop[[#This Row],[Peasants]],1)</f>
        <v>1</v>
      </c>
      <c r="J123" s="181">
        <f ca="1">SUM(TblConstr[[#This Row],[Tot Alc]:[Tot GT]],TblConstr[[#This Row],[Tot Shr]:[Tot Doc]],TblConstr[[#This Row],[Dest Alc]:[Dest GT]],TblConstr[[#This Row],[Dest Shr]:[Dest Doc]])*building_employment</f>
        <v>11040</v>
      </c>
      <c r="K123" s="182"/>
      <c r="L123" s="183">
        <f ca="1">TblPop[[#This Row],[Draftees]]</f>
        <v>3483</v>
      </c>
      <c r="M123" s="183">
        <f ca="1">TblMili[[#This Row],[Unit 1]]</f>
        <v>0</v>
      </c>
      <c r="N123" s="183">
        <f ca="1">TblMili[[#This Row],[Unit 2]]</f>
        <v>1081</v>
      </c>
      <c r="O123" s="183">
        <f ca="1">TblMili[[#This Row],[Unit 3]]</f>
        <v>125</v>
      </c>
      <c r="P123" s="183">
        <f ca="1">TblMili[[#This Row],[Unit 4]]</f>
        <v>600</v>
      </c>
      <c r="Q123" s="183">
        <f ca="1">TblMili[[#This Row],[Spies]]</f>
        <v>35</v>
      </c>
      <c r="R123" s="183">
        <f ca="1">TblMili[[#This Row],[Wizards]]</f>
        <v>35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9963</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3" s="124">
        <f ca="1">MAX(-5%*TblPop[[#This Row],[Peasants]]-TblPop[[#This Row],[Draft Growth]],MIN(OFFSET(TblPop[[#This Row],[Net max]],1,0)-TblPop[[#This Row],[Peasants]]-TblPop[[#This Row],[Military]]-TblPop[[#This Row],[Draft Growth]],TblPop[[#This Row],[Modded Birth]]-TblPop[[#This Row],[Draft Growth]]))</f>
        <v>-46</v>
      </c>
      <c r="X123" s="124">
        <f ca="1">ROUND(TblPop[[#This Row],[Raw Birth]]*(1+TblPop[[#This Row],[Growth]]),0)</f>
        <v>164</v>
      </c>
      <c r="Y123" s="124">
        <f ca="1">(TblPop[[#This Row],[Peasants]]-TblPop[[#This Row],[Draft Growth]])*raw_pop_growth</f>
        <v>136.74</v>
      </c>
      <c r="Z123" s="124">
        <f ca="1">IF(TblPop[[#This Row],[Military%]]&lt;TblMili[[#This Row],[Draftrate]],ROUND(TblPop[[#This Row],[Peasants]]*Constants!$B$53,0), 0)</f>
        <v>46</v>
      </c>
      <c r="AA123" s="184"/>
      <c r="AB123" s="185">
        <f ca="1">Overview!$I$16 + IF(Magic!AD123&gt;0,Constants!$F$77) + ROUND(6*(Construction!BM124+Construction!CK123)/IF(Explore!S124&gt;0,Construction!F124-20,Construction!F124),4) + tech_6_5_2*Techs!BJ123 + tech_8_4*Techs!BT123</f>
        <v>0.2</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44409.749999999709</v>
      </c>
      <c r="C124" s="124">
        <f ca="1">OFFSET(TblPop[[#This Row],[Peasants]],-1,0)+OFFSET(TblPop[[#This Row],[Net Peasant]],-1,0)+TblMili[[#This Row],[Release Draft]]</f>
        <v>4558</v>
      </c>
      <c r="D124" s="124">
        <f ca="1">TblMili[[#This Row],[Military]]</f>
        <v>5405</v>
      </c>
      <c r="E124" s="124">
        <f ca="1">TblMili[[#This Row],[Draftees]]</f>
        <v>3529</v>
      </c>
      <c r="F124" s="124">
        <f ca="1">TblPop[[#This Row],[Peasants]]+TblPop[[#This Row],[Military]]</f>
        <v>9963</v>
      </c>
      <c r="G124" s="180">
        <f ca="1">TblPop[[#This Row],[Military]]/TblPop[[#This Row],[Total]]</f>
        <v>0.54250727692462108</v>
      </c>
      <c r="H124" s="181">
        <f ca="1">MIN(TblPop[[#This Row],[Peasants]],TblPop[[#This Row],[Jobs]])</f>
        <v>4558</v>
      </c>
      <c r="I124" s="180">
        <f ca="1">MIN(OFFSET(TblPop[[#This Row],[Jobs]],1,0)/TblPop[[#This Row],[Peasants]],1)</f>
        <v>1</v>
      </c>
      <c r="J124" s="181">
        <f ca="1">SUM(TblConstr[[#This Row],[Tot Alc]:[Tot GT]],TblConstr[[#This Row],[Tot Shr]:[Tot Doc]],TblConstr[[#This Row],[Dest Alc]:[Dest GT]],TblConstr[[#This Row],[Dest Shr]:[Dest Doc]])*building_employment</f>
        <v>11040</v>
      </c>
      <c r="K124" s="182"/>
      <c r="L124" s="183">
        <f ca="1">TblPop[[#This Row],[Draftees]]</f>
        <v>3529</v>
      </c>
      <c r="M124" s="183">
        <f ca="1">TblMili[[#This Row],[Unit 1]]</f>
        <v>0</v>
      </c>
      <c r="N124" s="183">
        <f ca="1">TblMili[[#This Row],[Unit 2]]</f>
        <v>1081</v>
      </c>
      <c r="O124" s="183">
        <f ca="1">TblMili[[#This Row],[Unit 3]]</f>
        <v>125</v>
      </c>
      <c r="P124" s="183">
        <f ca="1">TblMili[[#This Row],[Unit 4]]</f>
        <v>600</v>
      </c>
      <c r="Q124" s="183">
        <f ca="1">TblMili[[#This Row],[Spies]]</f>
        <v>35</v>
      </c>
      <c r="R124" s="183">
        <f ca="1">TblMili[[#This Row],[Wizards]]</f>
        <v>35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9963</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4" s="124">
        <f ca="1">MAX(-5%*TblPop[[#This Row],[Peasants]]-TblPop[[#This Row],[Draft Growth]],MIN(OFFSET(TblPop[[#This Row],[Net max]],1,0)-TblPop[[#This Row],[Peasants]]-TblPop[[#This Row],[Military]]-TblPop[[#This Row],[Draft Growth]],TblPop[[#This Row],[Modded Birth]]-TblPop[[#This Row],[Draft Growth]]))</f>
        <v>-46</v>
      </c>
      <c r="X124" s="124">
        <f ca="1">ROUND(TblPop[[#This Row],[Raw Birth]]*(1+TblPop[[#This Row],[Growth]]),0)</f>
        <v>162</v>
      </c>
      <c r="Y124" s="124">
        <f ca="1">(TblPop[[#This Row],[Peasants]]-TblPop[[#This Row],[Draft Growth]])*raw_pop_growth</f>
        <v>135.35999999999999</v>
      </c>
      <c r="Z124" s="124">
        <f ca="1">IF(TblPop[[#This Row],[Military%]]&lt;TblMili[[#This Row],[Draftrate]],ROUND(TblPop[[#This Row],[Peasants]]*Constants!$B$53,0), 0)</f>
        <v>46</v>
      </c>
      <c r="AA124" s="184"/>
      <c r="AB124" s="185">
        <f ca="1">Overview!$I$16 + IF(Magic!AD124&gt;0,Constants!$F$77) + ROUND(6*(Construction!BM125+Construction!CK124)/IF(Explore!S125&gt;0,Construction!F125-20,Construction!F125),4) + tech_6_5_2*Techs!BJ124 + tech_8_4*Techs!BT124</f>
        <v>0.2</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44409.791666666373</v>
      </c>
      <c r="C125" s="124">
        <f ca="1">OFFSET(TblPop[[#This Row],[Peasants]],-1,0)+OFFSET(TblPop[[#This Row],[Net Peasant]],-1,0)+TblMili[[#This Row],[Release Draft]]</f>
        <v>4512</v>
      </c>
      <c r="D125" s="124">
        <f ca="1">TblMili[[#This Row],[Military]]</f>
        <v>5451</v>
      </c>
      <c r="E125" s="124">
        <f ca="1">TblMili[[#This Row],[Draftees]]</f>
        <v>3575</v>
      </c>
      <c r="F125" s="124">
        <f ca="1">TblPop[[#This Row],[Peasants]]+TblPop[[#This Row],[Military]]</f>
        <v>9963</v>
      </c>
      <c r="G125" s="180">
        <f ca="1">TblPop[[#This Row],[Military]]/TblPop[[#This Row],[Total]]</f>
        <v>0.54712436013249022</v>
      </c>
      <c r="H125" s="181">
        <f ca="1">MIN(TblPop[[#This Row],[Peasants]],TblPop[[#This Row],[Jobs]])</f>
        <v>4512</v>
      </c>
      <c r="I125" s="180">
        <f ca="1">MIN(OFFSET(TblPop[[#This Row],[Jobs]],1,0)/TblPop[[#This Row],[Peasants]],1)</f>
        <v>1</v>
      </c>
      <c r="J125" s="181">
        <f ca="1">SUM(TblConstr[[#This Row],[Tot Alc]:[Tot GT]],TblConstr[[#This Row],[Tot Shr]:[Tot Doc]],TblConstr[[#This Row],[Dest Alc]:[Dest GT]],TblConstr[[#This Row],[Dest Shr]:[Dest Doc]])*building_employment</f>
        <v>11040</v>
      </c>
      <c r="K125" s="182"/>
      <c r="L125" s="183">
        <f ca="1">TblPop[[#This Row],[Draftees]]</f>
        <v>3575</v>
      </c>
      <c r="M125" s="183">
        <f ca="1">TblMili[[#This Row],[Unit 1]]</f>
        <v>0</v>
      </c>
      <c r="N125" s="183">
        <f ca="1">TblMili[[#This Row],[Unit 2]]</f>
        <v>1081</v>
      </c>
      <c r="O125" s="183">
        <f ca="1">TblMili[[#This Row],[Unit 3]]</f>
        <v>125</v>
      </c>
      <c r="P125" s="183">
        <f ca="1">TblMili[[#This Row],[Unit 4]]</f>
        <v>600</v>
      </c>
      <c r="Q125" s="183">
        <f ca="1">TblMili[[#This Row],[Spies]]</f>
        <v>35</v>
      </c>
      <c r="R125" s="183">
        <f ca="1">TblMili[[#This Row],[Wizards]]</f>
        <v>35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9963</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5" s="124">
        <f ca="1">MAX(-5%*TblPop[[#This Row],[Peasants]]-TblPop[[#This Row],[Draft Growth]],MIN(OFFSET(TblPop[[#This Row],[Net max]],1,0)-TblPop[[#This Row],[Peasants]]-TblPop[[#This Row],[Military]]-TblPop[[#This Row],[Draft Growth]],TblPop[[#This Row],[Modded Birth]]-TblPop[[#This Row],[Draft Growth]]))</f>
        <v>-45</v>
      </c>
      <c r="X125" s="124">
        <f ca="1">ROUND(TblPop[[#This Row],[Raw Birth]]*(1+TblPop[[#This Row],[Growth]]),0)</f>
        <v>161</v>
      </c>
      <c r="Y125" s="124">
        <f ca="1">(TblPop[[#This Row],[Peasants]]-TblPop[[#This Row],[Draft Growth]])*raw_pop_growth</f>
        <v>134.01</v>
      </c>
      <c r="Z125" s="124">
        <f ca="1">IF(TblPop[[#This Row],[Military%]]&lt;TblMili[[#This Row],[Draftrate]],ROUND(TblPop[[#This Row],[Peasants]]*Constants!$B$53,0), 0)</f>
        <v>45</v>
      </c>
      <c r="AA125" s="184"/>
      <c r="AB125" s="185">
        <f ca="1">Overview!$I$16 + IF(Magic!AD125&gt;0,Constants!$F$77) + ROUND(6*(Construction!BM126+Construction!CK125)/IF(Explore!S126&gt;0,Construction!F126-20,Construction!F126),4) + tech_6_5_2*Techs!BJ125 + tech_8_4*Techs!BT125</f>
        <v>0.2</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44409.833333333037</v>
      </c>
      <c r="C126" s="124">
        <f ca="1">OFFSET(TblPop[[#This Row],[Peasants]],-1,0)+OFFSET(TblPop[[#This Row],[Net Peasant]],-1,0)+TblMili[[#This Row],[Release Draft]]</f>
        <v>4467</v>
      </c>
      <c r="D126" s="124">
        <f ca="1">TblMili[[#This Row],[Military]]</f>
        <v>5496</v>
      </c>
      <c r="E126" s="124">
        <f ca="1">TblMili[[#This Row],[Draftees]]</f>
        <v>3620</v>
      </c>
      <c r="F126" s="124">
        <f ca="1">TblPop[[#This Row],[Peasants]]+TblPop[[#This Row],[Military]]</f>
        <v>9963</v>
      </c>
      <c r="G126" s="180">
        <f ca="1">TblPop[[#This Row],[Military]]/TblPop[[#This Row],[Total]]</f>
        <v>0.55164107196627521</v>
      </c>
      <c r="H126" s="181">
        <f ca="1">MIN(TblPop[[#This Row],[Peasants]],TblPop[[#This Row],[Jobs]])</f>
        <v>4467</v>
      </c>
      <c r="I126" s="180">
        <f ca="1">MIN(OFFSET(TblPop[[#This Row],[Jobs]],1,0)/TblPop[[#This Row],[Peasants]],1)</f>
        <v>1</v>
      </c>
      <c r="J126" s="181">
        <f ca="1">SUM(TblConstr[[#This Row],[Tot Alc]:[Tot GT]],TblConstr[[#This Row],[Tot Shr]:[Tot Doc]],TblConstr[[#This Row],[Dest Alc]:[Dest GT]],TblConstr[[#This Row],[Dest Shr]:[Dest Doc]])*building_employment</f>
        <v>11040</v>
      </c>
      <c r="K126" s="182"/>
      <c r="L126" s="183">
        <f ca="1">TblPop[[#This Row],[Draftees]]</f>
        <v>3620</v>
      </c>
      <c r="M126" s="183">
        <f ca="1">TblMili[[#This Row],[Unit 1]]</f>
        <v>0</v>
      </c>
      <c r="N126" s="183">
        <f ca="1">TblMili[[#This Row],[Unit 2]]</f>
        <v>1081</v>
      </c>
      <c r="O126" s="183">
        <f ca="1">TblMili[[#This Row],[Unit 3]]</f>
        <v>125</v>
      </c>
      <c r="P126" s="183">
        <f ca="1">TblMili[[#This Row],[Unit 4]]</f>
        <v>600</v>
      </c>
      <c r="Q126" s="183">
        <f ca="1">TblMili[[#This Row],[Spies]]</f>
        <v>35</v>
      </c>
      <c r="R126" s="183">
        <f ca="1">TblMili[[#This Row],[Wizards]]</f>
        <v>35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9963</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6" s="124">
        <f ca="1">MAX(-5%*TblPop[[#This Row],[Peasants]]-TblPop[[#This Row],[Draft Growth]],MIN(OFFSET(TblPop[[#This Row],[Net max]],1,0)-TblPop[[#This Row],[Peasants]]-TblPop[[#This Row],[Military]]-TblPop[[#This Row],[Draft Growth]],TblPop[[#This Row],[Modded Birth]]-TblPop[[#This Row],[Draft Growth]]))</f>
        <v>-45</v>
      </c>
      <c r="X126" s="124">
        <f ca="1">ROUND(TblPop[[#This Row],[Raw Birth]]*(1+TblPop[[#This Row],[Growth]]),0)</f>
        <v>159</v>
      </c>
      <c r="Y126" s="124">
        <f ca="1">(TblPop[[#This Row],[Peasants]]-TblPop[[#This Row],[Draft Growth]])*raw_pop_growth</f>
        <v>132.66</v>
      </c>
      <c r="Z126" s="124">
        <f ca="1">IF(TblPop[[#This Row],[Military%]]&lt;TblMili[[#This Row],[Draftrate]],ROUND(TblPop[[#This Row],[Peasants]]*Constants!$B$53,0), 0)</f>
        <v>45</v>
      </c>
      <c r="AA126" s="184"/>
      <c r="AB126" s="185">
        <f ca="1">Overview!$I$16 + IF(Magic!AD126&gt;0,Constants!$F$77) + ROUND(6*(Construction!BM127+Construction!CK126)/IF(Explore!S127&gt;0,Construction!F127-20,Construction!F127),4) + tech_6_5_2*Techs!BJ126 + tech_8_4*Techs!BT126</f>
        <v>0.2</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44409.874999999702</v>
      </c>
      <c r="C127" s="124">
        <f ca="1">OFFSET(TblPop[[#This Row],[Peasants]],-1,0)+OFFSET(TblPop[[#This Row],[Net Peasant]],-1,0)+TblMili[[#This Row],[Release Draft]]</f>
        <v>4422</v>
      </c>
      <c r="D127" s="124">
        <f ca="1">TblMili[[#This Row],[Military]]</f>
        <v>5541</v>
      </c>
      <c r="E127" s="124">
        <f ca="1">TblMili[[#This Row],[Draftees]]</f>
        <v>3665</v>
      </c>
      <c r="F127" s="124">
        <f ca="1">TblPop[[#This Row],[Peasants]]+TblPop[[#This Row],[Military]]</f>
        <v>9963</v>
      </c>
      <c r="G127" s="180">
        <f ca="1">TblPop[[#This Row],[Military]]/TblPop[[#This Row],[Total]]</f>
        <v>0.5561577838000602</v>
      </c>
      <c r="H127" s="181">
        <f ca="1">MIN(TblPop[[#This Row],[Peasants]],TblPop[[#This Row],[Jobs]])</f>
        <v>4422</v>
      </c>
      <c r="I127" s="180">
        <f ca="1">MIN(OFFSET(TblPop[[#This Row],[Jobs]],1,0)/TblPop[[#This Row],[Peasants]],1)</f>
        <v>1</v>
      </c>
      <c r="J127" s="181">
        <f ca="1">SUM(TblConstr[[#This Row],[Tot Alc]:[Tot GT]],TblConstr[[#This Row],[Tot Shr]:[Tot Doc]],TblConstr[[#This Row],[Dest Alc]:[Dest GT]],TblConstr[[#This Row],[Dest Shr]:[Dest Doc]])*building_employment</f>
        <v>11040</v>
      </c>
      <c r="K127" s="182"/>
      <c r="L127" s="183">
        <f ca="1">TblPop[[#This Row],[Draftees]]</f>
        <v>3665</v>
      </c>
      <c r="M127" s="183">
        <f ca="1">TblMili[[#This Row],[Unit 1]]</f>
        <v>0</v>
      </c>
      <c r="N127" s="183">
        <f ca="1">TblMili[[#This Row],[Unit 2]]</f>
        <v>1081</v>
      </c>
      <c r="O127" s="183">
        <f ca="1">TblMili[[#This Row],[Unit 3]]</f>
        <v>125</v>
      </c>
      <c r="P127" s="183">
        <f ca="1">TblMili[[#This Row],[Unit 4]]</f>
        <v>600</v>
      </c>
      <c r="Q127" s="183">
        <f ca="1">TblMili[[#This Row],[Spies]]</f>
        <v>35</v>
      </c>
      <c r="R127" s="183">
        <f ca="1">TblMili[[#This Row],[Wizards]]</f>
        <v>35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9963</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7" s="124">
        <f ca="1">MAX(-5%*TblPop[[#This Row],[Peasants]]-TblPop[[#This Row],[Draft Growth]],MIN(OFFSET(TblPop[[#This Row],[Net max]],1,0)-TblPop[[#This Row],[Peasants]]-TblPop[[#This Row],[Military]]-TblPop[[#This Row],[Draft Growth]],TblPop[[#This Row],[Modded Birth]]-TblPop[[#This Row],[Draft Growth]]))</f>
        <v>-44</v>
      </c>
      <c r="X127" s="124">
        <f ca="1">ROUND(TblPop[[#This Row],[Raw Birth]]*(1+TblPop[[#This Row],[Growth]]),0)</f>
        <v>158</v>
      </c>
      <c r="Y127" s="124">
        <f ca="1">(TblPop[[#This Row],[Peasants]]-TblPop[[#This Row],[Draft Growth]])*raw_pop_growth</f>
        <v>131.34</v>
      </c>
      <c r="Z127" s="124">
        <f ca="1">IF(TblPop[[#This Row],[Military%]]&lt;TblMili[[#This Row],[Draftrate]],ROUND(TblPop[[#This Row],[Peasants]]*Constants!$B$53,0), 0)</f>
        <v>44</v>
      </c>
      <c r="AA127" s="184"/>
      <c r="AB127" s="185">
        <f ca="1">Overview!$I$16 + IF(Magic!AD127&gt;0,Constants!$F$77) + ROUND(6*(Construction!BM128+Construction!CK127)/IF(Explore!S128&gt;0,Construction!F128-20,Construction!F128),4) + tech_6_5_2*Techs!BJ127 + tech_8_4*Techs!BT127</f>
        <v>0.2</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44409.916666666366</v>
      </c>
      <c r="C128" s="124">
        <f ca="1">OFFSET(TblPop[[#This Row],[Peasants]],-1,0)+OFFSET(TblPop[[#This Row],[Net Peasant]],-1,0)+TblMili[[#This Row],[Release Draft]]</f>
        <v>4378</v>
      </c>
      <c r="D128" s="124">
        <f ca="1">TblMili[[#This Row],[Military]]</f>
        <v>5585</v>
      </c>
      <c r="E128" s="124">
        <f ca="1">TblMili[[#This Row],[Draftees]]</f>
        <v>3709</v>
      </c>
      <c r="F128" s="124">
        <f ca="1">TblPop[[#This Row],[Peasants]]+TblPop[[#This Row],[Military]]</f>
        <v>9963</v>
      </c>
      <c r="G128" s="180">
        <f ca="1">TblPop[[#This Row],[Military]]/TblPop[[#This Row],[Total]]</f>
        <v>0.56057412425976116</v>
      </c>
      <c r="H128" s="181">
        <f ca="1">MIN(TblPop[[#This Row],[Peasants]],TblPop[[#This Row],[Jobs]])</f>
        <v>4378</v>
      </c>
      <c r="I128" s="180">
        <f ca="1">MIN(OFFSET(TblPop[[#This Row],[Jobs]],1,0)/TblPop[[#This Row],[Peasants]],1)</f>
        <v>1</v>
      </c>
      <c r="J128" s="181">
        <f ca="1">SUM(TblConstr[[#This Row],[Tot Alc]:[Tot GT]],TblConstr[[#This Row],[Tot Shr]:[Tot Doc]],TblConstr[[#This Row],[Dest Alc]:[Dest GT]],TblConstr[[#This Row],[Dest Shr]:[Dest Doc]])*building_employment</f>
        <v>11040</v>
      </c>
      <c r="K128" s="182"/>
      <c r="L128" s="183">
        <f ca="1">TblPop[[#This Row],[Draftees]]</f>
        <v>3709</v>
      </c>
      <c r="M128" s="183">
        <f ca="1">TblMili[[#This Row],[Unit 1]]</f>
        <v>0</v>
      </c>
      <c r="N128" s="183">
        <f ca="1">TblMili[[#This Row],[Unit 2]]</f>
        <v>1081</v>
      </c>
      <c r="O128" s="183">
        <f ca="1">TblMili[[#This Row],[Unit 3]]</f>
        <v>125</v>
      </c>
      <c r="P128" s="183">
        <f ca="1">TblMili[[#This Row],[Unit 4]]</f>
        <v>600</v>
      </c>
      <c r="Q128" s="183">
        <f ca="1">TblMili[[#This Row],[Spies]]</f>
        <v>35</v>
      </c>
      <c r="R128" s="183">
        <f ca="1">TblMili[[#This Row],[Wizards]]</f>
        <v>35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9963</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8" s="124">
        <f ca="1">MAX(-5%*TblPop[[#This Row],[Peasants]]-TblPop[[#This Row],[Draft Growth]],MIN(OFFSET(TblPop[[#This Row],[Net max]],1,0)-TblPop[[#This Row],[Peasants]]-TblPop[[#This Row],[Military]]-TblPop[[#This Row],[Draft Growth]],TblPop[[#This Row],[Modded Birth]]-TblPop[[#This Row],[Draft Growth]]))</f>
        <v>-44</v>
      </c>
      <c r="X128" s="124">
        <f ca="1">ROUND(TblPop[[#This Row],[Raw Birth]]*(1+TblPop[[#This Row],[Growth]]),0)</f>
        <v>156</v>
      </c>
      <c r="Y128" s="124">
        <f ca="1">(TblPop[[#This Row],[Peasants]]-TblPop[[#This Row],[Draft Growth]])*raw_pop_growth</f>
        <v>130.01999999999998</v>
      </c>
      <c r="Z128" s="124">
        <f ca="1">IF(TblPop[[#This Row],[Military%]]&lt;TblMili[[#This Row],[Draftrate]],ROUND(TblPop[[#This Row],[Peasants]]*Constants!$B$53,0), 0)</f>
        <v>44</v>
      </c>
      <c r="AA128" s="184"/>
      <c r="AB128" s="185">
        <f ca="1">Overview!$I$16 + IF(Magic!AD128&gt;0,Constants!$F$77) + ROUND(6*(Construction!BM129+Construction!CK128)/IF(Explore!S129&gt;0,Construction!F129-20,Construction!F129),4) + tech_6_5_2*Techs!BJ128 + tech_8_4*Techs!BT128</f>
        <v>0.2</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44409.95833333303</v>
      </c>
      <c r="C129" s="124">
        <f ca="1">OFFSET(TblPop[[#This Row],[Peasants]],-1,0)+OFFSET(TblPop[[#This Row],[Net Peasant]],-1,0)+TblMili[[#This Row],[Release Draft]]</f>
        <v>4334</v>
      </c>
      <c r="D129" s="124">
        <f ca="1">TblMili[[#This Row],[Military]]</f>
        <v>5629</v>
      </c>
      <c r="E129" s="124">
        <f ca="1">TblMili[[#This Row],[Draftees]]</f>
        <v>3753</v>
      </c>
      <c r="F129" s="124">
        <f ca="1">TblPop[[#This Row],[Peasants]]+TblPop[[#This Row],[Military]]</f>
        <v>9963</v>
      </c>
      <c r="G129" s="180">
        <f ca="1">TblPop[[#This Row],[Military]]/TblPop[[#This Row],[Total]]</f>
        <v>0.56499046471946202</v>
      </c>
      <c r="H129" s="181">
        <f ca="1">MIN(TblPop[[#This Row],[Peasants]],TblPop[[#This Row],[Jobs]])</f>
        <v>4334</v>
      </c>
      <c r="I129" s="180">
        <f ca="1">MIN(OFFSET(TblPop[[#This Row],[Jobs]],1,0)/TblPop[[#This Row],[Peasants]],1)</f>
        <v>1</v>
      </c>
      <c r="J129" s="181">
        <f ca="1">SUM(TblConstr[[#This Row],[Tot Alc]:[Tot GT]],TblConstr[[#This Row],[Tot Shr]:[Tot Doc]],TblConstr[[#This Row],[Dest Alc]:[Dest GT]],TblConstr[[#This Row],[Dest Shr]:[Dest Doc]])*building_employment</f>
        <v>11040</v>
      </c>
      <c r="K129" s="182"/>
      <c r="L129" s="183">
        <f ca="1">TblPop[[#This Row],[Draftees]]</f>
        <v>3753</v>
      </c>
      <c r="M129" s="183">
        <f ca="1">TblMili[[#This Row],[Unit 1]]</f>
        <v>0</v>
      </c>
      <c r="N129" s="183">
        <f ca="1">TblMili[[#This Row],[Unit 2]]</f>
        <v>1081</v>
      </c>
      <c r="O129" s="183">
        <f ca="1">TblMili[[#This Row],[Unit 3]]</f>
        <v>125</v>
      </c>
      <c r="P129" s="183">
        <f ca="1">TblMili[[#This Row],[Unit 4]]</f>
        <v>600</v>
      </c>
      <c r="Q129" s="183">
        <f ca="1">TblMili[[#This Row],[Spies]]</f>
        <v>35</v>
      </c>
      <c r="R129" s="183">
        <f ca="1">TblMili[[#This Row],[Wizards]]</f>
        <v>35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9963</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9" s="124">
        <f ca="1">MAX(-5%*TblPop[[#This Row],[Peasants]]-TblPop[[#This Row],[Draft Growth]],MIN(OFFSET(TblPop[[#This Row],[Net max]],1,0)-TblPop[[#This Row],[Peasants]]-TblPop[[#This Row],[Military]]-TblPop[[#This Row],[Draft Growth]],TblPop[[#This Row],[Modded Birth]]-TblPop[[#This Row],[Draft Growth]]))</f>
        <v>-43</v>
      </c>
      <c r="X129" s="124">
        <f ca="1">ROUND(TblPop[[#This Row],[Raw Birth]]*(1+TblPop[[#This Row],[Growth]]),0)</f>
        <v>154</v>
      </c>
      <c r="Y129" s="124">
        <f ca="1">(TblPop[[#This Row],[Peasants]]-TblPop[[#This Row],[Draft Growth]])*raw_pop_growth</f>
        <v>128.72999999999999</v>
      </c>
      <c r="Z129" s="124">
        <f ca="1">IF(TblPop[[#This Row],[Military%]]&lt;TblMili[[#This Row],[Draftrate]],ROUND(TblPop[[#This Row],[Peasants]]*Constants!$B$53,0), 0)</f>
        <v>43</v>
      </c>
      <c r="AA129" s="184"/>
      <c r="AB129" s="185">
        <f ca="1">Overview!$I$16 + IF(Magic!AD129&gt;0,Constants!$F$77) + ROUND(6*(Construction!BM130+Construction!CK129)/IF(Explore!S130&gt;0,Construction!F130-20,Construction!F130),4) + tech_6_5_2*Techs!BJ129 + tech_8_4*Techs!BT129</f>
        <v>0.2</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44409.999999999694</v>
      </c>
      <c r="C130" s="124">
        <f ca="1">OFFSET(TblPop[[#This Row],[Peasants]],-1,0)+OFFSET(TblPop[[#This Row],[Net Peasant]],-1,0)+TblMili[[#This Row],[Release Draft]]</f>
        <v>4291</v>
      </c>
      <c r="D130" s="124">
        <f ca="1">TblMili[[#This Row],[Military]]</f>
        <v>5672</v>
      </c>
      <c r="E130" s="124">
        <f ca="1">TblMili[[#This Row],[Draftees]]</f>
        <v>3796</v>
      </c>
      <c r="F130" s="124">
        <f ca="1">TblPop[[#This Row],[Peasants]]+TblPop[[#This Row],[Military]]</f>
        <v>9963</v>
      </c>
      <c r="G130" s="180">
        <f ca="1">TblPop[[#This Row],[Military]]/TblPop[[#This Row],[Total]]</f>
        <v>0.56930643380507884</v>
      </c>
      <c r="H130" s="181">
        <f ca="1">MIN(TblPop[[#This Row],[Peasants]],TblPop[[#This Row],[Jobs]])</f>
        <v>4291</v>
      </c>
      <c r="I130" s="180">
        <f ca="1">MIN(OFFSET(TblPop[[#This Row],[Jobs]],1,0)/TblPop[[#This Row],[Peasants]],1)</f>
        <v>1</v>
      </c>
      <c r="J130" s="181">
        <f ca="1">SUM(TblConstr[[#This Row],[Tot Alc]:[Tot GT]],TblConstr[[#This Row],[Tot Shr]:[Tot Doc]],TblConstr[[#This Row],[Dest Alc]:[Dest GT]],TblConstr[[#This Row],[Dest Shr]:[Dest Doc]])*building_employment</f>
        <v>11040</v>
      </c>
      <c r="K130" s="182"/>
      <c r="L130" s="183">
        <f ca="1">TblPop[[#This Row],[Draftees]]</f>
        <v>3796</v>
      </c>
      <c r="M130" s="183">
        <f ca="1">TblMili[[#This Row],[Unit 1]]</f>
        <v>0</v>
      </c>
      <c r="N130" s="183">
        <f ca="1">TblMili[[#This Row],[Unit 2]]</f>
        <v>1081</v>
      </c>
      <c r="O130" s="183">
        <f ca="1">TblMili[[#This Row],[Unit 3]]</f>
        <v>125</v>
      </c>
      <c r="P130" s="183">
        <f ca="1">TblMili[[#This Row],[Unit 4]]</f>
        <v>600</v>
      </c>
      <c r="Q130" s="183">
        <f ca="1">TblMili[[#This Row],[Spies]]</f>
        <v>35</v>
      </c>
      <c r="R130" s="183">
        <f ca="1">TblMili[[#This Row],[Wizards]]</f>
        <v>35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9963</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0" s="124">
        <f ca="1">MAX(-5%*TblPop[[#This Row],[Peasants]]-TblPop[[#This Row],[Draft Growth]],MIN(OFFSET(TblPop[[#This Row],[Net max]],1,0)-TblPop[[#This Row],[Peasants]]-TblPop[[#This Row],[Military]]-TblPop[[#This Row],[Draft Growth]],TblPop[[#This Row],[Modded Birth]]-TblPop[[#This Row],[Draft Growth]]))</f>
        <v>-43</v>
      </c>
      <c r="X130" s="124">
        <f ca="1">ROUND(TblPop[[#This Row],[Raw Birth]]*(1+TblPop[[#This Row],[Growth]]),0)</f>
        <v>153</v>
      </c>
      <c r="Y130" s="124">
        <f ca="1">(TblPop[[#This Row],[Peasants]]-TblPop[[#This Row],[Draft Growth]])*raw_pop_growth</f>
        <v>127.44</v>
      </c>
      <c r="Z130" s="124">
        <f ca="1">IF(TblPop[[#This Row],[Military%]]&lt;TblMili[[#This Row],[Draftrate]],ROUND(TblPop[[#This Row],[Peasants]]*Constants!$B$53,0), 0)</f>
        <v>43</v>
      </c>
      <c r="AA130" s="184"/>
      <c r="AB130" s="185">
        <f ca="1">Overview!$I$16 + IF(Magic!AD130&gt;0,Constants!$F$77) + ROUND(6*(Construction!BM131+Construction!CK130)/IF(Explore!S131&gt;0,Construction!F131-20,Construction!F131),4) + tech_6_5_2*Techs!BJ130 + tech_8_4*Techs!BT130</f>
        <v>0.2</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44410.041666666359</v>
      </c>
      <c r="C131" s="124">
        <f ca="1">OFFSET(TblPop[[#This Row],[Peasants]],-1,0)+OFFSET(TblPop[[#This Row],[Net Peasant]],-1,0)+TblMili[[#This Row],[Release Draft]]</f>
        <v>4248</v>
      </c>
      <c r="D131" s="124">
        <f ca="1">TblMili[[#This Row],[Military]]</f>
        <v>5715</v>
      </c>
      <c r="E131" s="124">
        <f ca="1">TblMili[[#This Row],[Draftees]]</f>
        <v>3839</v>
      </c>
      <c r="F131" s="124">
        <f ca="1">TblPop[[#This Row],[Peasants]]+TblPop[[#This Row],[Military]]</f>
        <v>9963</v>
      </c>
      <c r="G131" s="180">
        <f ca="1">TblPop[[#This Row],[Military]]/TblPop[[#This Row],[Total]]</f>
        <v>0.57362240289069555</v>
      </c>
      <c r="H131" s="181">
        <f ca="1">MIN(TblPop[[#This Row],[Peasants]],TblPop[[#This Row],[Jobs]])</f>
        <v>4248</v>
      </c>
      <c r="I131" s="180">
        <f ca="1">MIN(OFFSET(TblPop[[#This Row],[Jobs]],1,0)/TblPop[[#This Row],[Peasants]],1)</f>
        <v>1</v>
      </c>
      <c r="J131" s="181">
        <f ca="1">SUM(TblConstr[[#This Row],[Tot Alc]:[Tot GT]],TblConstr[[#This Row],[Tot Shr]:[Tot Doc]],TblConstr[[#This Row],[Dest Alc]:[Dest GT]],TblConstr[[#This Row],[Dest Shr]:[Dest Doc]])*building_employment</f>
        <v>11040</v>
      </c>
      <c r="K131" s="182"/>
      <c r="L131" s="183">
        <f ca="1">TblPop[[#This Row],[Draftees]]</f>
        <v>3839</v>
      </c>
      <c r="M131" s="183">
        <f ca="1">TblMili[[#This Row],[Unit 1]]</f>
        <v>0</v>
      </c>
      <c r="N131" s="183">
        <f ca="1">TblMili[[#This Row],[Unit 2]]</f>
        <v>1081</v>
      </c>
      <c r="O131" s="183">
        <f ca="1">TblMili[[#This Row],[Unit 3]]</f>
        <v>125</v>
      </c>
      <c r="P131" s="183">
        <f ca="1">TblMili[[#This Row],[Unit 4]]</f>
        <v>600</v>
      </c>
      <c r="Q131" s="183">
        <f ca="1">TblMili[[#This Row],[Spies]]</f>
        <v>35</v>
      </c>
      <c r="R131" s="183">
        <f ca="1">TblMili[[#This Row],[Wizards]]</f>
        <v>35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9963</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1" s="124">
        <f ca="1">MAX(-5%*TblPop[[#This Row],[Peasants]]-TblPop[[#This Row],[Draft Growth]],MIN(OFFSET(TblPop[[#This Row],[Net max]],1,0)-TblPop[[#This Row],[Peasants]]-TblPop[[#This Row],[Military]]-TblPop[[#This Row],[Draft Growth]],TblPop[[#This Row],[Modded Birth]]-TblPop[[#This Row],[Draft Growth]]))</f>
        <v>-42</v>
      </c>
      <c r="X131" s="124">
        <f ca="1">ROUND(TblPop[[#This Row],[Raw Birth]]*(1+TblPop[[#This Row],[Growth]]),0)</f>
        <v>151</v>
      </c>
      <c r="Y131" s="124">
        <f ca="1">(TblPop[[#This Row],[Peasants]]-TblPop[[#This Row],[Draft Growth]])*raw_pop_growth</f>
        <v>126.17999999999999</v>
      </c>
      <c r="Z131" s="124">
        <f ca="1">IF(TblPop[[#This Row],[Military%]]&lt;TblMili[[#This Row],[Draftrate]],ROUND(TblPop[[#This Row],[Peasants]]*Constants!$B$53,0), 0)</f>
        <v>42</v>
      </c>
      <c r="AA131" s="184"/>
      <c r="AB131" s="185">
        <f ca="1">Overview!$I$16 + IF(Magic!AD131&gt;0,Constants!$F$77) + ROUND(6*(Construction!BM132+Construction!CK131)/IF(Explore!S132&gt;0,Construction!F132-20,Construction!F132),4) + tech_6_5_2*Techs!BJ131 + tech_8_4*Techs!BT131</f>
        <v>0.2</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44410.083333333023</v>
      </c>
      <c r="C132" s="124">
        <f ca="1">OFFSET(TblPop[[#This Row],[Peasants]],-1,0)+OFFSET(TblPop[[#This Row],[Net Peasant]],-1,0)+TblMili[[#This Row],[Release Draft]]</f>
        <v>4206</v>
      </c>
      <c r="D132" s="124">
        <f ca="1">TblMili[[#This Row],[Military]]</f>
        <v>5757</v>
      </c>
      <c r="E132" s="124">
        <f ca="1">TblMili[[#This Row],[Draftees]]</f>
        <v>3881</v>
      </c>
      <c r="F132" s="124">
        <f ca="1">TblPop[[#This Row],[Peasants]]+TblPop[[#This Row],[Military]]</f>
        <v>9963</v>
      </c>
      <c r="G132" s="180">
        <f ca="1">TblPop[[#This Row],[Military]]/TblPop[[#This Row],[Total]]</f>
        <v>0.57783800060222823</v>
      </c>
      <c r="H132" s="181">
        <f ca="1">MIN(TblPop[[#This Row],[Peasants]],TblPop[[#This Row],[Jobs]])</f>
        <v>4206</v>
      </c>
      <c r="I132" s="180">
        <f ca="1">MIN(OFFSET(TblPop[[#This Row],[Jobs]],1,0)/TblPop[[#This Row],[Peasants]],1)</f>
        <v>1</v>
      </c>
      <c r="J132" s="181">
        <f ca="1">SUM(TblConstr[[#This Row],[Tot Alc]:[Tot GT]],TblConstr[[#This Row],[Tot Shr]:[Tot Doc]],TblConstr[[#This Row],[Dest Alc]:[Dest GT]],TblConstr[[#This Row],[Dest Shr]:[Dest Doc]])*building_employment</f>
        <v>11040</v>
      </c>
      <c r="K132" s="182"/>
      <c r="L132" s="183">
        <f ca="1">TblPop[[#This Row],[Draftees]]</f>
        <v>3881</v>
      </c>
      <c r="M132" s="183">
        <f ca="1">TblMili[[#This Row],[Unit 1]]</f>
        <v>0</v>
      </c>
      <c r="N132" s="183">
        <f ca="1">TblMili[[#This Row],[Unit 2]]</f>
        <v>1081</v>
      </c>
      <c r="O132" s="183">
        <f ca="1">TblMili[[#This Row],[Unit 3]]</f>
        <v>125</v>
      </c>
      <c r="P132" s="183">
        <f ca="1">TblMili[[#This Row],[Unit 4]]</f>
        <v>600</v>
      </c>
      <c r="Q132" s="183">
        <f ca="1">TblMili[[#This Row],[Spies]]</f>
        <v>35</v>
      </c>
      <c r="R132" s="183">
        <f ca="1">TblMili[[#This Row],[Wizards]]</f>
        <v>35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9963</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2" s="124">
        <f ca="1">MAX(-5%*TblPop[[#This Row],[Peasants]]-TblPop[[#This Row],[Draft Growth]],MIN(OFFSET(TblPop[[#This Row],[Net max]],1,0)-TblPop[[#This Row],[Peasants]]-TblPop[[#This Row],[Military]]-TblPop[[#This Row],[Draft Growth]],TblPop[[#This Row],[Modded Birth]]-TblPop[[#This Row],[Draft Growth]]))</f>
        <v>-42</v>
      </c>
      <c r="X132" s="124">
        <f ca="1">ROUND(TblPop[[#This Row],[Raw Birth]]*(1+TblPop[[#This Row],[Growth]]),0)</f>
        <v>150</v>
      </c>
      <c r="Y132" s="124">
        <f ca="1">(TblPop[[#This Row],[Peasants]]-TblPop[[#This Row],[Draft Growth]])*raw_pop_growth</f>
        <v>124.92</v>
      </c>
      <c r="Z132" s="124">
        <f ca="1">IF(TblPop[[#This Row],[Military%]]&lt;TblMili[[#This Row],[Draftrate]],ROUND(TblPop[[#This Row],[Peasants]]*Constants!$B$53,0), 0)</f>
        <v>42</v>
      </c>
      <c r="AA132" s="184"/>
      <c r="AB132" s="185">
        <f ca="1">Overview!$I$16 + IF(Magic!AD132&gt;0,Constants!$F$77) + ROUND(6*(Construction!BM133+Construction!CK132)/IF(Explore!S133&gt;0,Construction!F133-20,Construction!F133),4) + tech_6_5_2*Techs!BJ132 + tech_8_4*Techs!BT132</f>
        <v>0.2</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44410.124999999687</v>
      </c>
      <c r="C133" s="124">
        <f ca="1">OFFSET(TblPop[[#This Row],[Peasants]],-1,0)+OFFSET(TblPop[[#This Row],[Net Peasant]],-1,0)+TblMili[[#This Row],[Release Draft]]</f>
        <v>4164</v>
      </c>
      <c r="D133" s="124">
        <f ca="1">TblMili[[#This Row],[Military]]</f>
        <v>5799</v>
      </c>
      <c r="E133" s="124">
        <f ca="1">TblMili[[#This Row],[Draftees]]</f>
        <v>3923</v>
      </c>
      <c r="F133" s="124">
        <f ca="1">TblPop[[#This Row],[Peasants]]+TblPop[[#This Row],[Military]]</f>
        <v>9963</v>
      </c>
      <c r="G133" s="180">
        <f ca="1">TblPop[[#This Row],[Military]]/TblPop[[#This Row],[Total]]</f>
        <v>0.58205359831376091</v>
      </c>
      <c r="H133" s="181">
        <f ca="1">MIN(TblPop[[#This Row],[Peasants]],TblPop[[#This Row],[Jobs]])</f>
        <v>4164</v>
      </c>
      <c r="I133" s="180">
        <f ca="1">MIN(OFFSET(TblPop[[#This Row],[Jobs]],1,0)/TblPop[[#This Row],[Peasants]],1)</f>
        <v>1</v>
      </c>
      <c r="J133" s="181">
        <f ca="1">SUM(TblConstr[[#This Row],[Tot Alc]:[Tot GT]],TblConstr[[#This Row],[Tot Shr]:[Tot Doc]],TblConstr[[#This Row],[Dest Alc]:[Dest GT]],TblConstr[[#This Row],[Dest Shr]:[Dest Doc]])*building_employment</f>
        <v>11040</v>
      </c>
      <c r="K133" s="182"/>
      <c r="L133" s="183">
        <f ca="1">TblPop[[#This Row],[Draftees]]</f>
        <v>3923</v>
      </c>
      <c r="M133" s="183">
        <f ca="1">TblMili[[#This Row],[Unit 1]]</f>
        <v>0</v>
      </c>
      <c r="N133" s="183">
        <f ca="1">TblMili[[#This Row],[Unit 2]]</f>
        <v>1081</v>
      </c>
      <c r="O133" s="183">
        <f ca="1">TblMili[[#This Row],[Unit 3]]</f>
        <v>125</v>
      </c>
      <c r="P133" s="183">
        <f ca="1">TblMili[[#This Row],[Unit 4]]</f>
        <v>600</v>
      </c>
      <c r="Q133" s="183">
        <f ca="1">TblMili[[#This Row],[Spies]]</f>
        <v>35</v>
      </c>
      <c r="R133" s="183">
        <f ca="1">TblMili[[#This Row],[Wizards]]</f>
        <v>35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9963</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3" s="124">
        <f ca="1">MAX(-5%*TblPop[[#This Row],[Peasants]]-TblPop[[#This Row],[Draft Growth]],MIN(OFFSET(TblPop[[#This Row],[Net max]],1,0)-TblPop[[#This Row],[Peasants]]-TblPop[[#This Row],[Military]]-TblPop[[#This Row],[Draft Growth]],TblPop[[#This Row],[Modded Birth]]-TblPop[[#This Row],[Draft Growth]]))</f>
        <v>-42</v>
      </c>
      <c r="X133" s="124">
        <f ca="1">ROUND(TblPop[[#This Row],[Raw Birth]]*(1+TblPop[[#This Row],[Growth]]),0)</f>
        <v>148</v>
      </c>
      <c r="Y133" s="124">
        <f ca="1">(TblPop[[#This Row],[Peasants]]-TblPop[[#This Row],[Draft Growth]])*raw_pop_growth</f>
        <v>123.66</v>
      </c>
      <c r="Z133" s="124">
        <f ca="1">IF(TblPop[[#This Row],[Military%]]&lt;TblMili[[#This Row],[Draftrate]],ROUND(TblPop[[#This Row],[Peasants]]*Constants!$B$53,0), 0)</f>
        <v>42</v>
      </c>
      <c r="AA133" s="184"/>
      <c r="AB133" s="185">
        <f ca="1">Overview!$I$16 + IF(Magic!AD133&gt;0,Constants!$F$77) + ROUND(6*(Construction!BM134+Construction!CK133)/IF(Explore!S134&gt;0,Construction!F134-20,Construction!F134),4) + tech_6_5_2*Techs!BJ133 + tech_8_4*Techs!BT133</f>
        <v>0.2</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44410.166666666351</v>
      </c>
      <c r="C134" s="124">
        <f ca="1">OFFSET(TblPop[[#This Row],[Peasants]],-1,0)+OFFSET(TblPop[[#This Row],[Net Peasant]],-1,0)+TblMili[[#This Row],[Release Draft]]</f>
        <v>4122</v>
      </c>
      <c r="D134" s="124">
        <f ca="1">TblMili[[#This Row],[Military]]</f>
        <v>5841</v>
      </c>
      <c r="E134" s="124">
        <f ca="1">TblMili[[#This Row],[Draftees]]</f>
        <v>3965</v>
      </c>
      <c r="F134" s="124">
        <f ca="1">TblPop[[#This Row],[Peasants]]+TblPop[[#This Row],[Military]]</f>
        <v>9963</v>
      </c>
      <c r="G134" s="180">
        <f ca="1">TblPop[[#This Row],[Military]]/TblPop[[#This Row],[Total]]</f>
        <v>0.58626919602529359</v>
      </c>
      <c r="H134" s="181">
        <f ca="1">MIN(TblPop[[#This Row],[Peasants]],TblPop[[#This Row],[Jobs]])</f>
        <v>4122</v>
      </c>
      <c r="I134" s="180">
        <f ca="1">MIN(OFFSET(TblPop[[#This Row],[Jobs]],1,0)/TblPop[[#This Row],[Peasants]],1)</f>
        <v>1</v>
      </c>
      <c r="J134" s="181">
        <f ca="1">SUM(TblConstr[[#This Row],[Tot Alc]:[Tot GT]],TblConstr[[#This Row],[Tot Shr]:[Tot Doc]],TblConstr[[#This Row],[Dest Alc]:[Dest GT]],TblConstr[[#This Row],[Dest Shr]:[Dest Doc]])*building_employment</f>
        <v>11040</v>
      </c>
      <c r="K134" s="182"/>
      <c r="L134" s="183">
        <f ca="1">TblPop[[#This Row],[Draftees]]</f>
        <v>3965</v>
      </c>
      <c r="M134" s="183">
        <f ca="1">TblMili[[#This Row],[Unit 1]]</f>
        <v>0</v>
      </c>
      <c r="N134" s="183">
        <f ca="1">TblMili[[#This Row],[Unit 2]]</f>
        <v>1081</v>
      </c>
      <c r="O134" s="183">
        <f ca="1">TblMili[[#This Row],[Unit 3]]</f>
        <v>125</v>
      </c>
      <c r="P134" s="183">
        <f ca="1">TblMili[[#This Row],[Unit 4]]</f>
        <v>600</v>
      </c>
      <c r="Q134" s="183">
        <f ca="1">TblMili[[#This Row],[Spies]]</f>
        <v>35</v>
      </c>
      <c r="R134" s="183">
        <f ca="1">TblMili[[#This Row],[Wizards]]</f>
        <v>35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9963</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4" s="124">
        <f ca="1">MAX(-5%*TblPop[[#This Row],[Peasants]]-TblPop[[#This Row],[Draft Growth]],MIN(OFFSET(TblPop[[#This Row],[Net max]],1,0)-TblPop[[#This Row],[Peasants]]-TblPop[[#This Row],[Military]]-TblPop[[#This Row],[Draft Growth]],TblPop[[#This Row],[Modded Birth]]-TblPop[[#This Row],[Draft Growth]]))</f>
        <v>-41</v>
      </c>
      <c r="X134" s="124">
        <f ca="1">ROUND(TblPop[[#This Row],[Raw Birth]]*(1+TblPop[[#This Row],[Growth]]),0)</f>
        <v>147</v>
      </c>
      <c r="Y134" s="124">
        <f ca="1">(TblPop[[#This Row],[Peasants]]-TblPop[[#This Row],[Draft Growth]])*raw_pop_growth</f>
        <v>122.42999999999999</v>
      </c>
      <c r="Z134" s="124">
        <f ca="1">IF(TblPop[[#This Row],[Military%]]&lt;TblMili[[#This Row],[Draftrate]],ROUND(TblPop[[#This Row],[Peasants]]*Constants!$B$53,0), 0)</f>
        <v>41</v>
      </c>
      <c r="AA134" s="184"/>
      <c r="AB134" s="185">
        <f ca="1">Overview!$I$16 + IF(Magic!AD134&gt;0,Constants!$F$77) + ROUND(6*(Construction!BM135+Construction!CK134)/IF(Explore!S135&gt;0,Construction!F135-20,Construction!F135),4) + tech_6_5_2*Techs!BJ134 + tech_8_4*Techs!BT134</f>
        <v>0.2</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44410.208333333016</v>
      </c>
      <c r="C135" s="124">
        <f ca="1">OFFSET(TblPop[[#This Row],[Peasants]],-1,0)+OFFSET(TblPop[[#This Row],[Net Peasant]],-1,0)+TblMili[[#This Row],[Release Draft]]</f>
        <v>4081</v>
      </c>
      <c r="D135" s="124">
        <f ca="1">TblMili[[#This Row],[Military]]</f>
        <v>5882</v>
      </c>
      <c r="E135" s="124">
        <f ca="1">TblMili[[#This Row],[Draftees]]</f>
        <v>4006</v>
      </c>
      <c r="F135" s="124">
        <f ca="1">TblPop[[#This Row],[Peasants]]+TblPop[[#This Row],[Military]]</f>
        <v>9963</v>
      </c>
      <c r="G135" s="180">
        <f ca="1">TblPop[[#This Row],[Military]]/TblPop[[#This Row],[Total]]</f>
        <v>0.59038442236274213</v>
      </c>
      <c r="H135" s="181">
        <f ca="1">MIN(TblPop[[#This Row],[Peasants]],TblPop[[#This Row],[Jobs]])</f>
        <v>4081</v>
      </c>
      <c r="I135" s="180">
        <f ca="1">MIN(OFFSET(TblPop[[#This Row],[Jobs]],1,0)/TblPop[[#This Row],[Peasants]],1)</f>
        <v>1</v>
      </c>
      <c r="J135" s="181">
        <f ca="1">SUM(TblConstr[[#This Row],[Tot Alc]:[Tot GT]],TblConstr[[#This Row],[Tot Shr]:[Tot Doc]],TblConstr[[#This Row],[Dest Alc]:[Dest GT]],TblConstr[[#This Row],[Dest Shr]:[Dest Doc]])*building_employment</f>
        <v>11040</v>
      </c>
      <c r="K135" s="182"/>
      <c r="L135" s="183">
        <f ca="1">TblPop[[#This Row],[Draftees]]</f>
        <v>4006</v>
      </c>
      <c r="M135" s="183">
        <f ca="1">TblMili[[#This Row],[Unit 1]]</f>
        <v>0</v>
      </c>
      <c r="N135" s="183">
        <f ca="1">TblMili[[#This Row],[Unit 2]]</f>
        <v>1081</v>
      </c>
      <c r="O135" s="183">
        <f ca="1">TblMili[[#This Row],[Unit 3]]</f>
        <v>125</v>
      </c>
      <c r="P135" s="183">
        <f ca="1">TblMili[[#This Row],[Unit 4]]</f>
        <v>600</v>
      </c>
      <c r="Q135" s="183">
        <f ca="1">TblMili[[#This Row],[Spies]]</f>
        <v>35</v>
      </c>
      <c r="R135" s="183">
        <f ca="1">TblMili[[#This Row],[Wizards]]</f>
        <v>35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9963</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5" s="124">
        <f ca="1">MAX(-5%*TblPop[[#This Row],[Peasants]]-TblPop[[#This Row],[Draft Growth]],MIN(OFFSET(TblPop[[#This Row],[Net max]],1,0)-TblPop[[#This Row],[Peasants]]-TblPop[[#This Row],[Military]]-TblPop[[#This Row],[Draft Growth]],TblPop[[#This Row],[Modded Birth]]-TblPop[[#This Row],[Draft Growth]]))</f>
        <v>-41</v>
      </c>
      <c r="X135" s="124">
        <f ca="1">ROUND(TblPop[[#This Row],[Raw Birth]]*(1+TblPop[[#This Row],[Growth]]),0)</f>
        <v>145</v>
      </c>
      <c r="Y135" s="124">
        <f ca="1">(TblPop[[#This Row],[Peasants]]-TblPop[[#This Row],[Draft Growth]])*raw_pop_growth</f>
        <v>121.19999999999999</v>
      </c>
      <c r="Z135" s="124">
        <f ca="1">IF(TblPop[[#This Row],[Military%]]&lt;TblMili[[#This Row],[Draftrate]],ROUND(TblPop[[#This Row],[Peasants]]*Constants!$B$53,0), 0)</f>
        <v>41</v>
      </c>
      <c r="AA135" s="184"/>
      <c r="AB135" s="185">
        <f ca="1">Overview!$I$16 + IF(Magic!AD135&gt;0,Constants!$F$77) + ROUND(6*(Construction!BM136+Construction!CK135)/IF(Explore!S136&gt;0,Construction!F136-20,Construction!F136),4) + tech_6_5_2*Techs!BJ135 + tech_8_4*Techs!BT135</f>
        <v>0.2</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44410.24999999968</v>
      </c>
      <c r="C136" s="124">
        <f ca="1">OFFSET(TblPop[[#This Row],[Peasants]],-1,0)+OFFSET(TblPop[[#This Row],[Net Peasant]],-1,0)+TblMili[[#This Row],[Release Draft]]</f>
        <v>4040</v>
      </c>
      <c r="D136" s="124">
        <f ca="1">TblMili[[#This Row],[Military]]</f>
        <v>5923</v>
      </c>
      <c r="E136" s="124">
        <f ca="1">TblMili[[#This Row],[Draftees]]</f>
        <v>4047</v>
      </c>
      <c r="F136" s="124">
        <f ca="1">TblPop[[#This Row],[Peasants]]+TblPop[[#This Row],[Military]]</f>
        <v>9963</v>
      </c>
      <c r="G136" s="180">
        <f ca="1">TblPop[[#This Row],[Military]]/TblPop[[#This Row],[Total]]</f>
        <v>0.59449964870019067</v>
      </c>
      <c r="H136" s="181">
        <f ca="1">MIN(TblPop[[#This Row],[Peasants]],TblPop[[#This Row],[Jobs]])</f>
        <v>4040</v>
      </c>
      <c r="I136" s="180">
        <f ca="1">MIN(OFFSET(TblPop[[#This Row],[Jobs]],1,0)/TblPop[[#This Row],[Peasants]],1)</f>
        <v>0</v>
      </c>
      <c r="J136" s="181">
        <f ca="1">SUM(TblConstr[[#This Row],[Tot Alc]:[Tot GT]],TblConstr[[#This Row],[Tot Shr]:[Tot Doc]],TblConstr[[#This Row],[Dest Alc]:[Dest GT]],TblConstr[[#This Row],[Dest Shr]:[Dest Doc]])*building_employment</f>
        <v>11040</v>
      </c>
      <c r="K136" s="182"/>
      <c r="L136" s="183">
        <f ca="1">TblPop[[#This Row],[Draftees]]</f>
        <v>4047</v>
      </c>
      <c r="M136" s="183">
        <f ca="1">TblMili[[#This Row],[Unit 1]]</f>
        <v>0</v>
      </c>
      <c r="N136" s="183">
        <f ca="1">TblMili[[#This Row],[Unit 2]]</f>
        <v>1081</v>
      </c>
      <c r="O136" s="183">
        <f ca="1">TblMili[[#This Row],[Unit 3]]</f>
        <v>125</v>
      </c>
      <c r="P136" s="183">
        <f ca="1">TblMili[[#This Row],[Unit 4]]</f>
        <v>600</v>
      </c>
      <c r="Q136" s="183">
        <f ca="1">TblMili[[#This Row],[Spies]]</f>
        <v>35</v>
      </c>
      <c r="R136" s="183">
        <f ca="1">TblMili[[#This Row],[Wizards]]</f>
        <v>35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9963</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120</v>
      </c>
      <c r="Z136" s="124">
        <f ca="1">IF(TblPop[[#This Row],[Military%]]&lt;TblMili[[#This Row],[Draftrate]],ROUND(TblPop[[#This Row],[Peasants]]*Constants!$B$53,0), 0)</f>
        <v>40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327</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J46" sqref="J46"/>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8" t="s">
        <v>259</v>
      </c>
      <c r="T1" s="588"/>
      <c r="U1" s="588"/>
      <c r="AA1" s="588" t="s">
        <v>85</v>
      </c>
      <c r="AB1" s="588"/>
      <c r="AH1" s="588" t="s">
        <v>176</v>
      </c>
      <c r="AI1" s="588"/>
      <c r="AJ1" s="588"/>
      <c r="AK1" s="588"/>
      <c r="AL1" s="588"/>
      <c r="AM1" s="588"/>
      <c r="AO1" s="72" t="s">
        <v>19</v>
      </c>
      <c r="AT1" s="588" t="s">
        <v>196</v>
      </c>
      <c r="AU1" s="588"/>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44404.75</v>
      </c>
      <c r="C4" s="199"/>
      <c r="D4" s="200"/>
      <c r="E4" s="113">
        <f ca="1">TblConstr[[#This Row],[Land]]</f>
        <v>250</v>
      </c>
      <c r="F4" s="113">
        <f>TblPop[[#This Row],[Peasants]]</f>
        <v>1300</v>
      </c>
      <c r="G4" s="113">
        <f ca="1">TblMili[[#This Row],[Networth (2)]]</f>
        <v>5700</v>
      </c>
      <c r="H4" s="497">
        <f ca="1">start_plat - TblProd[[#This Row],[Expenses Platinum]] + IF(TblProd[[#This Row],[Plat Bonus]],TblPop[[#This Row],[Peasants]]*4)+days_late*days_late_plat + SUM(TblConstr[[#This Row],[Dest Hom]:[Dest Doc]])*Construction!AM4*tech_3_3_2*TblTech[[#This Row],[3-3]]</f>
        <v>42000</v>
      </c>
      <c r="I4" s="497">
        <f>start_food+days_late*days_late_food</f>
        <v>15000</v>
      </c>
      <c r="J4" s="497">
        <f ca="1">start_lumber - TblProd[[#This Row],[Expenses Lumber]]+days_late*days_late_lumber + SUM(TblConstr[[#This Row],[Dest Hom]:[Dest Doc]])*TblConstr[[#This Row],[CPA Lumber -DB]]*tech_3_3_2*TblTech[[#This Row],[3-3]]</f>
        <v>7960</v>
      </c>
      <c r="K4" s="497">
        <f ca="1">start_mana - TblProd[[#This Row],[Expenses Mana]]+days_late*days_late_mana</f>
        <v>0</v>
      </c>
      <c r="L4" s="497">
        <f ca="1">start_ore - TblProd[[#This Row],[Expenses Ore]]+days_late*days_late_ore</f>
        <v>0</v>
      </c>
      <c r="M4" s="497">
        <f>start_gems - TblProd[[#This Row],[Expenses Gems]]</f>
        <v>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920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79.600000000000009</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58000</v>
      </c>
      <c r="AU4" s="113">
        <f ca="1">TblConstr[[#This Row],[Total Lum Cost]]+TblImps[[#This Row],[L1]]-TblProd[[#This Row],[Bank Lumber]] + Military!$CH$25*TblMili[[#This Row],[Sec. rec. Cost]]</f>
        <v>7040</v>
      </c>
      <c r="AV4" s="113">
        <f ca="1">TblMagic[[#This Row],[Mana cost]] + Military!$CH$26*TblMili[[#This Row],[Sec. rec. Cost]]</f>
        <v>0</v>
      </c>
      <c r="AW4" s="113">
        <f ca="1">Military!$CH$24*TblMili[[#This Row],[Sec. rec. Cost]]+TblImps[[#This Row],[O1]]-TblProd[[#This Row],[Bank Ore]]</f>
        <v>0</v>
      </c>
      <c r="AX4" s="113">
        <f>TblImps[[#This Row],[G1]]-TblProd[[#This Row],[Bank Gems]]</f>
        <v>10000</v>
      </c>
      <c r="AY4" s="184"/>
      <c r="AZ4" s="74" t="b">
        <f>IF(TblProd[[#This Row],[Set Guard]]&lt;&gt;"",TblProd[[#This Row],[Set Guard]],FALSE)</f>
        <v>0</v>
      </c>
      <c r="BA4" s="199"/>
      <c r="BB4" s="59">
        <f>TblProd[[#This Row],[Hour]]</f>
        <v>1</v>
      </c>
      <c r="BC4" s="204">
        <f>-TblProd[[#This Row],[Bank Lumber]] / 2 + -TblProd[[#This Row],[Bank Gems]] * 2</f>
        <v>20000</v>
      </c>
      <c r="BD4" s="204"/>
      <c r="BE4" s="204"/>
      <c r="BF4" s="204">
        <v>-10000</v>
      </c>
      <c r="BG4" s="205">
        <f>TblProd[[#This Row],[Time]]</f>
        <v>44404.75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113">
        <f ca="1">TblProd[[#This Row],[Platinum]]</f>
        <v>42000</v>
      </c>
      <c r="BJ4" s="113">
        <f>TblProd[[#This Row],[Food]]</f>
        <v>15000</v>
      </c>
      <c r="BK4" s="113">
        <f ca="1">TblProd[[#This Row],[Lumber]]</f>
        <v>7960</v>
      </c>
      <c r="BL4" s="113">
        <f ca="1">TblProd[[#This Row],[Mana]]</f>
        <v>0</v>
      </c>
      <c r="BM4" s="113">
        <f ca="1">TblProd[[#This Row],[Ore]]</f>
        <v>0</v>
      </c>
    </row>
    <row r="5" spans="1:65" x14ac:dyDescent="0.2">
      <c r="A5" s="178">
        <v>2</v>
      </c>
      <c r="B5" s="198">
        <f ca="1">TblImps[[#This Row],[Time]]</f>
        <v>44404.791666666664</v>
      </c>
      <c r="C5" s="199"/>
      <c r="D5" s="200"/>
      <c r="E5" s="113">
        <f ca="1">TblConstr[[#This Row],[Land]]</f>
        <v>250</v>
      </c>
      <c r="F5" s="113">
        <f ca="1">TblPop[[#This Row],[Peasants]]</f>
        <v>1326</v>
      </c>
      <c r="G5" s="113">
        <f ca="1">TblMili[[#This Row],[Networth (2)]]</f>
        <v>5700</v>
      </c>
      <c r="H5" s="113">
        <f ca="1">OFFSET(TblProd[[#This Row],[Platinum]],-1,0)+OFFSET(TblProd[[#This Row],[Plat/hr]],-1,0) - TblProd[[#This Row],[Expenses Platinum]] + IF(TblProd[[#This Row],[Plat Bonus]],TblPop[[#This Row],[Peasants]]*4) + SUM(TblConstr[[#This Row],[Dest Hom]:[Dest Doc]])*TblConstr[[#This Row],[CPA Platinum -DB]]*tech_3_3_2*TblTech[[#This Row],[3-3]]</f>
        <v>46860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8880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911</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88.8</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44404.791666666664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46860</v>
      </c>
      <c r="BJ5" s="113">
        <f ca="1">TblProd[[#This Row],[Food]]</f>
        <v>17030</v>
      </c>
      <c r="BK5" s="113">
        <f ca="1">TblProd[[#This Row],[Lumber]]</f>
        <v>8880</v>
      </c>
      <c r="BL5" s="113">
        <f ca="1">TblProd[[#This Row],[Mana]]</f>
        <v>0</v>
      </c>
      <c r="BM5" s="113">
        <f ca="1">TblProd[[#This Row],[Ore]]</f>
        <v>0</v>
      </c>
    </row>
    <row r="6" spans="1:65" x14ac:dyDescent="0.2">
      <c r="A6" s="178">
        <v>3</v>
      </c>
      <c r="B6" s="198">
        <f ca="1">TblImps[[#This Row],[Time]]</f>
        <v>44404.833333333328</v>
      </c>
      <c r="C6" s="199"/>
      <c r="D6" s="200"/>
      <c r="E6" s="113">
        <f ca="1">TblConstr[[#This Row],[Land]]</f>
        <v>250</v>
      </c>
      <c r="F6" s="113">
        <f ca="1">TblPop[[#This Row],[Peasants]]</f>
        <v>1352</v>
      </c>
      <c r="G6" s="113">
        <f ca="1">TblMili[[#This Row],[Networth (2)]]</f>
        <v>5700</v>
      </c>
      <c r="H6" s="113">
        <f ca="1">OFFSET(TblProd[[#This Row],[Platinum]],-1,0)+OFFSET(TblProd[[#This Row],[Plat/hr]],-1,0) - TblProd[[#This Row],[Expenses Platinum]] + IF(TblProd[[#This Row],[Plat Bonus]],TblPop[[#This Row],[Peasants]]*4) + SUM(TblConstr[[#This Row],[Dest Hom]:[Dest Doc]])*TblConstr[[#This Row],[CPA Platinum -DB]]*tech_3_3_2*TblTech[[#This Row],[3-3]]</f>
        <v>51790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9791</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902</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97.91</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44404.833333333328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51790</v>
      </c>
      <c r="BJ6" s="113">
        <f ca="1">TblProd[[#This Row],[Food]]</f>
        <v>19030</v>
      </c>
      <c r="BK6" s="113">
        <f ca="1">TblProd[[#This Row],[Lumber]]</f>
        <v>9791</v>
      </c>
      <c r="BL6" s="113">
        <f ca="1">TblProd[[#This Row],[Mana]]</f>
        <v>0</v>
      </c>
      <c r="BM6" s="113">
        <f ca="1">TblProd[[#This Row],[Ore]]</f>
        <v>0</v>
      </c>
    </row>
    <row r="7" spans="1:65" x14ac:dyDescent="0.2">
      <c r="A7" s="178">
        <v>4</v>
      </c>
      <c r="B7" s="198">
        <f ca="1">TblImps[[#This Row],[Time]]</f>
        <v>44404.874999999993</v>
      </c>
      <c r="C7" s="199"/>
      <c r="D7" s="200"/>
      <c r="E7" s="113">
        <f ca="1">TblConstr[[#This Row],[Land]]</f>
        <v>250</v>
      </c>
      <c r="F7" s="113">
        <f ca="1">TblPop[[#This Row],[Peasants]]</f>
        <v>1378</v>
      </c>
      <c r="G7" s="113">
        <f ca="1">TblMili[[#This Row],[Networth (2)]]</f>
        <v>5700</v>
      </c>
      <c r="H7" s="113">
        <f ca="1">OFFSET(TblProd[[#This Row],[Platinum]],-1,0)+OFFSET(TblProd[[#This Row],[Plat/hr]],-1,0) - TblProd[[#This Row],[Expenses Platinum]] + IF(TblProd[[#This Row],[Plat Bonus]],TblPop[[#This Row],[Peasants]]*4) + SUM(TblConstr[[#This Row],[Dest Hom]:[Dest Doc]])*TblConstr[[#This Row],[CPA Platinum -DB]]*tech_3_3_2*TblTech[[#This Row],[3-3]]</f>
        <v>56790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10693</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893</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106.93</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44404.874999999993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56790</v>
      </c>
      <c r="BJ7" s="113">
        <f ca="1">TblProd[[#This Row],[Food]]</f>
        <v>21000</v>
      </c>
      <c r="BK7" s="113">
        <f ca="1">TblProd[[#This Row],[Lumber]]</f>
        <v>10693</v>
      </c>
      <c r="BL7" s="113">
        <f ca="1">TblProd[[#This Row],[Mana]]</f>
        <v>0</v>
      </c>
      <c r="BM7" s="113">
        <f ca="1">TblProd[[#This Row],[Ore]]</f>
        <v>0</v>
      </c>
    </row>
    <row r="8" spans="1:65" x14ac:dyDescent="0.2">
      <c r="A8" s="178">
        <v>5</v>
      </c>
      <c r="B8" s="198">
        <f ca="1">TblImps[[#This Row],[Time]]</f>
        <v>44404.916666666657</v>
      </c>
      <c r="C8" s="199"/>
      <c r="D8" s="200"/>
      <c r="E8" s="113">
        <f ca="1">TblConstr[[#This Row],[Land]]</f>
        <v>250</v>
      </c>
      <c r="F8" s="113">
        <f ca="1">TblPop[[#This Row],[Peasants]]</f>
        <v>1405</v>
      </c>
      <c r="G8" s="113">
        <f ca="1">TblMili[[#This Row],[Networth (2)]]</f>
        <v>5700</v>
      </c>
      <c r="H8" s="113">
        <f ca="1">OFFSET(TblProd[[#This Row],[Platinum]],-1,0)+OFFSET(TblProd[[#This Row],[Plat/hr]],-1,0) - TblProd[[#This Row],[Expenses Platinum]] + IF(TblProd[[#This Row],[Plat Bonus]],TblPop[[#This Row],[Peasants]]*4) + SUM(TblConstr[[#This Row],[Dest Hom]:[Dest Doc]])*TblConstr[[#This Row],[CPA Platinum -DB]]*tech_3_3_2*TblTech[[#This Row],[3-3]]</f>
        <v>61860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11586</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884</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115.86</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44404.916666666657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61860</v>
      </c>
      <c r="BJ8" s="113">
        <f ca="1">TblProd[[#This Row],[Food]]</f>
        <v>22941</v>
      </c>
      <c r="BK8" s="113">
        <f ca="1">TblProd[[#This Row],[Lumber]]</f>
        <v>11586</v>
      </c>
      <c r="BL8" s="113">
        <f ca="1">TblProd[[#This Row],[Mana]]</f>
        <v>0</v>
      </c>
      <c r="BM8" s="113">
        <f ca="1">TblProd[[#This Row],[Ore]]</f>
        <v>0</v>
      </c>
    </row>
    <row r="9" spans="1:65" x14ac:dyDescent="0.2">
      <c r="A9" s="178">
        <v>6</v>
      </c>
      <c r="B9" s="198">
        <f ca="1">TblImps[[#This Row],[Time]]</f>
        <v>44404.958333333321</v>
      </c>
      <c r="C9" s="199"/>
      <c r="D9" s="200"/>
      <c r="E9" s="113">
        <f ca="1">TblConstr[[#This Row],[Land]]</f>
        <v>250</v>
      </c>
      <c r="F9" s="113">
        <f ca="1">TblPop[[#This Row],[Peasants]]</f>
        <v>1433</v>
      </c>
      <c r="G9" s="113">
        <f ca="1">TblMili[[#This Row],[Networth (2)]]</f>
        <v>5700</v>
      </c>
      <c r="H9" s="113">
        <f ca="1">OFFSET(TblProd[[#This Row],[Platinum]],-1,0)+OFFSET(TblProd[[#This Row],[Plat/hr]],-1,0) - TblProd[[#This Row],[Expenses Platinum]] + IF(TblProd[[#This Row],[Plat Bonus]],TblPop[[#This Row],[Peasants]]*4) + SUM(TblConstr[[#This Row],[Dest Hom]:[Dest Doc]])*TblConstr[[#This Row],[CPA Platinum -DB]]*tech_3_3_2*TblTech[[#This Row],[3-3]]</f>
        <v>67003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12470</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875</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124.7</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44404.958333333321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67003</v>
      </c>
      <c r="BJ9" s="113">
        <f ca="1">TblProd[[#This Row],[Food]]</f>
        <v>24852</v>
      </c>
      <c r="BK9" s="113">
        <f ca="1">TblProd[[#This Row],[Lumber]]</f>
        <v>12470</v>
      </c>
      <c r="BL9" s="113">
        <f ca="1">TblProd[[#This Row],[Mana]]</f>
        <v>0</v>
      </c>
      <c r="BM9" s="113">
        <f ca="1">TblProd[[#This Row],[Ore]]</f>
        <v>0</v>
      </c>
    </row>
    <row r="10" spans="1:65" x14ac:dyDescent="0.2">
      <c r="A10" s="178">
        <v>7</v>
      </c>
      <c r="B10" s="198">
        <f ca="1">TblImps[[#This Row],[Time]]</f>
        <v>44404.999999999985</v>
      </c>
      <c r="C10" s="199"/>
      <c r="D10" s="200"/>
      <c r="E10" s="113">
        <f ca="1">TblConstr[[#This Row],[Land]]</f>
        <v>250</v>
      </c>
      <c r="F10" s="113">
        <f ca="1">TblPop[[#This Row],[Peasants]]</f>
        <v>1462</v>
      </c>
      <c r="G10" s="113">
        <f ca="1">TblMili[[#This Row],[Networth (2)]]</f>
        <v>5700</v>
      </c>
      <c r="H10" s="113">
        <f ca="1">OFFSET(TblProd[[#This Row],[Platinum]],-1,0)+OFFSET(TblProd[[#This Row],[Plat/hr]],-1,0) - TblProd[[#This Row],[Expenses Platinum]] + IF(TblProd[[#This Row],[Plat Bonus]],TblPop[[#This Row],[Peasants]]*4) + SUM(TblConstr[[#This Row],[Dest Hom]:[Dest Doc]])*TblConstr[[#This Row],[CPA Platinum -DB]]*tech_3_3_2*TblTech[[#This Row],[3-3]]</f>
        <v>72222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13345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867</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133.44999999999999</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44404.999999999985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72222</v>
      </c>
      <c r="BJ10" s="113">
        <f ca="1">TblProd[[#This Row],[Food]]</f>
        <v>26733</v>
      </c>
      <c r="BK10" s="113">
        <f ca="1">TblProd[[#This Row],[Lumber]]</f>
        <v>13345</v>
      </c>
      <c r="BL10" s="113">
        <f ca="1">TblProd[[#This Row],[Mana]]</f>
        <v>0</v>
      </c>
      <c r="BM10" s="113">
        <f ca="1">TblProd[[#This Row],[Ore]]</f>
        <v>0</v>
      </c>
    </row>
    <row r="11" spans="1:65" x14ac:dyDescent="0.2">
      <c r="A11" s="178">
        <v>8</v>
      </c>
      <c r="B11" s="198">
        <f ca="1">TblImps[[#This Row],[Time]]</f>
        <v>44405.04166666665</v>
      </c>
      <c r="C11" s="199"/>
      <c r="D11" s="200"/>
      <c r="E11" s="113">
        <f ca="1">TblConstr[[#This Row],[Land]]</f>
        <v>250</v>
      </c>
      <c r="F11" s="113">
        <f ca="1">TblPop[[#This Row],[Peasants]]</f>
        <v>1490</v>
      </c>
      <c r="G11" s="113">
        <f ca="1">TblMili[[#This Row],[Networth (2)]]</f>
        <v>5700</v>
      </c>
      <c r="H11" s="113">
        <f ca="1">OFFSET(TblProd[[#This Row],[Platinum]],-1,0)+OFFSET(TblProd[[#This Row],[Plat/hr]],-1,0) - TblProd[[#This Row],[Expenses Platinum]] + IF(TblProd[[#This Row],[Plat Bonus]],TblPop[[#This Row],[Peasants]]*4) + SUM(TblConstr[[#This Row],[Dest Hom]:[Dest Doc]])*TblConstr[[#This Row],[CPA Platinum -DB]]*tech_3_3_2*TblTech[[#This Row],[3-3]]</f>
        <v>77519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14212</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858</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142.12</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44405.04166666665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77519</v>
      </c>
      <c r="BJ11" s="113">
        <f ca="1">TblProd[[#This Row],[Food]]</f>
        <v>28585</v>
      </c>
      <c r="BK11" s="113">
        <f ca="1">TblProd[[#This Row],[Lumber]]</f>
        <v>14212</v>
      </c>
      <c r="BL11" s="113">
        <f ca="1">TblProd[[#This Row],[Mana]]</f>
        <v>0</v>
      </c>
      <c r="BM11" s="113">
        <f ca="1">TblProd[[#This Row],[Ore]]</f>
        <v>0</v>
      </c>
    </row>
    <row r="12" spans="1:65" x14ac:dyDescent="0.2">
      <c r="A12" s="178">
        <v>9</v>
      </c>
      <c r="B12" s="198">
        <f ca="1">TblImps[[#This Row],[Time]]</f>
        <v>44405.083333333314</v>
      </c>
      <c r="C12" s="199"/>
      <c r="D12" s="200"/>
      <c r="E12" s="113">
        <f ca="1">TblConstr[[#This Row],[Land]]</f>
        <v>250</v>
      </c>
      <c r="F12" s="113">
        <f ca="1">TblPop[[#This Row],[Peasants]]</f>
        <v>1519</v>
      </c>
      <c r="G12" s="113">
        <f ca="1">TblMili[[#This Row],[Networth (2)]]</f>
        <v>5700</v>
      </c>
      <c r="H12" s="113">
        <f ca="1">OFFSET(TblProd[[#This Row],[Platinum]],-1,0)+OFFSET(TblProd[[#This Row],[Plat/hr]],-1,0) - TblProd[[#This Row],[Expenses Platinum]] + IF(TblProd[[#This Row],[Plat Bonus]],TblPop[[#This Row],[Peasants]]*4) + SUM(TblConstr[[#This Row],[Dest Hom]:[Dest Doc]])*TblConstr[[#This Row],[CPA Platinum -DB]]*tech_3_3_2*TblTech[[#This Row],[3-3]]</f>
        <v>82892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15070</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849</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150.70000000000002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44405.083333333314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82892</v>
      </c>
      <c r="BJ12" s="113">
        <f ca="1">TblProd[[#This Row],[Food]]</f>
        <v>30407</v>
      </c>
      <c r="BK12" s="113">
        <f ca="1">TblProd[[#This Row],[Lumber]]</f>
        <v>15070</v>
      </c>
      <c r="BL12" s="113">
        <f ca="1">TblProd[[#This Row],[Mana]]</f>
        <v>0</v>
      </c>
      <c r="BM12" s="113">
        <f ca="1">TblProd[[#This Row],[Ore]]</f>
        <v>0</v>
      </c>
    </row>
    <row r="13" spans="1:65" x14ac:dyDescent="0.2">
      <c r="A13" s="178">
        <v>10</v>
      </c>
      <c r="B13" s="198">
        <f ca="1">TblImps[[#This Row],[Time]]</f>
        <v>44405.124999999978</v>
      </c>
      <c r="C13" s="199"/>
      <c r="D13" s="200"/>
      <c r="E13" s="113">
        <f ca="1">TblConstr[[#This Row],[Land]]</f>
        <v>250</v>
      </c>
      <c r="F13" s="113">
        <f ca="1">TblPop[[#This Row],[Peasants]]</f>
        <v>1549</v>
      </c>
      <c r="G13" s="113">
        <f ca="1">TblMili[[#This Row],[Networth (2)]]</f>
        <v>5700</v>
      </c>
      <c r="H13" s="113">
        <f ca="1">OFFSET(TblProd[[#This Row],[Platinum]],-1,0)+OFFSET(TblProd[[#This Row],[Plat/hr]],-1,0) - TblProd[[#This Row],[Expenses Platinum]] + IF(TblProd[[#This Row],[Plat Bonus]],TblPop[[#This Row],[Peasants]]*4) + SUM(TblConstr[[#This Row],[Dest Hom]:[Dest Doc]])*TblConstr[[#This Row],[CPA Platinum -DB]]*tech_3_3_2*TblTech[[#This Row],[3-3]]</f>
        <v>88343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15919</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841</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159.19</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44405.124999999978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88343</v>
      </c>
      <c r="BJ13" s="113">
        <f ca="1">TblProd[[#This Row],[Food]]</f>
        <v>32200</v>
      </c>
      <c r="BK13" s="113">
        <f ca="1">TblProd[[#This Row],[Lumber]]</f>
        <v>15919</v>
      </c>
      <c r="BL13" s="113">
        <f ca="1">TblProd[[#This Row],[Mana]]</f>
        <v>0</v>
      </c>
      <c r="BM13" s="113">
        <f ca="1">TblProd[[#This Row],[Ore]]</f>
        <v>0</v>
      </c>
    </row>
    <row r="14" spans="1:65" s="59" customFormat="1" x14ac:dyDescent="0.2">
      <c r="A14" s="178">
        <v>11</v>
      </c>
      <c r="B14" s="198">
        <f ca="1">TblImps[[#This Row],[Time]]</f>
        <v>44405.166666666642</v>
      </c>
      <c r="C14" s="199"/>
      <c r="D14" s="200"/>
      <c r="E14" s="124">
        <f ca="1">TblConstr[[#This Row],[Land]]</f>
        <v>250</v>
      </c>
      <c r="F14" s="124">
        <f ca="1">TblPop[[#This Row],[Peasants]]</f>
        <v>1580</v>
      </c>
      <c r="G14" s="124">
        <f ca="1">TblMili[[#This Row],[Networth (2)]]</f>
        <v>5700</v>
      </c>
      <c r="H14" s="124">
        <f ca="1">OFFSET(TblProd[[#This Row],[Platinum]],-1,0)+OFFSET(TblProd[[#This Row],[Plat/hr]],-1,0) - TblProd[[#This Row],[Expenses Platinum]] + IF(TblProd[[#This Row],[Plat Bonus]],TblPop[[#This Row],[Peasants]]*4) + SUM(TblConstr[[#This Row],[Dest Hom]:[Dest Doc]])*TblConstr[[#This Row],[CPA Platinum -DB]]*tech_3_3_2*TblTech[[#This Row],[3-3]]</f>
        <v>93875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16760</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832</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167.6</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44405.166666666642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93875</v>
      </c>
      <c r="BJ14" s="124">
        <f ca="1">TblProd[[#This Row],[Food]]</f>
        <v>33964</v>
      </c>
      <c r="BK14" s="124">
        <f ca="1">TblProd[[#This Row],[Lumber]]</f>
        <v>16760</v>
      </c>
      <c r="BL14" s="124">
        <f ca="1">TblProd[[#This Row],[Mana]]</f>
        <v>0</v>
      </c>
      <c r="BM14" s="124">
        <f ca="1">TblProd[[#This Row],[Ore]]</f>
        <v>0</v>
      </c>
    </row>
    <row r="15" spans="1:65" x14ac:dyDescent="0.2">
      <c r="A15" s="178">
        <v>12</v>
      </c>
      <c r="B15" s="198">
        <f ca="1">TblImps[[#This Row],[Time]]</f>
        <v>44405.208333333307</v>
      </c>
      <c r="C15" s="199"/>
      <c r="D15" s="200"/>
      <c r="E15" s="113">
        <f ca="1">TblConstr[[#This Row],[Land]]</f>
        <v>250</v>
      </c>
      <c r="F15" s="113">
        <f ca="1">TblPop[[#This Row],[Peasants]]</f>
        <v>1611</v>
      </c>
      <c r="G15" s="113">
        <f ca="1">TblMili[[#This Row],[Networth (2)]]</f>
        <v>5700</v>
      </c>
      <c r="H15" s="113">
        <f ca="1">OFFSET(TblProd[[#This Row],[Platinum]],-1,0)+OFFSET(TblProd[[#This Row],[Plat/hr]],-1,0) - TblProd[[#This Row],[Expenses Platinum]] + IF(TblProd[[#This Row],[Plat Bonus]],TblPop[[#This Row],[Peasants]]*4) + SUM(TblConstr[[#This Row],[Dest Hom]:[Dest Doc]])*TblConstr[[#This Row],[CPA Platinum -DB]]*tech_3_3_2*TblTech[[#This Row],[3-3]]</f>
        <v>99491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17592</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5699</v>
      </c>
      <c r="T15" s="113">
        <f ca="1">ROUND(TblProd[[#This Row],[Raw Food/hr]]*(1+TblProd[[#This Row],[Bonus Food/hr]])-TblProd[[#This Row],[Food decay]]-TblProd[[#This Row],[Food eaten]],0)</f>
        <v>1706</v>
      </c>
      <c r="U15" s="113">
        <f ca="1">ROUND(TblProd[[#This Row],[Raw Lumber/hr]]*(1+TblProd[[#This Row],[Bonus Lumber/hr]])-TblProd[[#This Row],[Lumber rot]],0)</f>
        <v>824</v>
      </c>
      <c r="V15" s="113">
        <f ca="1">ROUND(TblProd[[#This Row],[Raw Mana/hr]]*(1+TblProd[[#This Row],[Bonus Mana/hr]])-TblProd[[#This Row],[Mana drain]],0)</f>
        <v>375</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5699.7000000000007</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375</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175.92000000000002</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44405.208333333307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99491</v>
      </c>
      <c r="BJ15" s="113">
        <f ca="1">TblProd[[#This Row],[Food]]</f>
        <v>35699</v>
      </c>
      <c r="BK15" s="113">
        <f ca="1">TblProd[[#This Row],[Lumber]]</f>
        <v>17592</v>
      </c>
      <c r="BL15" s="113">
        <f ca="1">TblProd[[#This Row],[Mana]]</f>
        <v>0</v>
      </c>
      <c r="BM15" s="113">
        <f ca="1">TblProd[[#This Row],[Ore]]</f>
        <v>0</v>
      </c>
    </row>
    <row r="16" spans="1:65" x14ac:dyDescent="0.2">
      <c r="A16" s="178">
        <v>13</v>
      </c>
      <c r="B16" s="198">
        <f ca="1">TblImps[[#This Row],[Time]]</f>
        <v>44405.249999999971</v>
      </c>
      <c r="C16" s="199"/>
      <c r="D16" s="200"/>
      <c r="E16" s="113">
        <f ca="1">TblConstr[[#This Row],[Land]]</f>
        <v>250</v>
      </c>
      <c r="F16" s="113">
        <f ca="1">TblPop[[#This Row],[Peasants]]</f>
        <v>1666</v>
      </c>
      <c r="G16" s="113">
        <f ca="1">TblMili[[#This Row],[Networth (2)]]</f>
        <v>6100</v>
      </c>
      <c r="H16" s="113">
        <f ca="1">OFFSET(TblProd[[#This Row],[Platinum]],-1,0)+OFFSET(TblProd[[#This Row],[Plat/hr]],-1,0) - TblProd[[#This Row],[Expenses Platinum]] + IF(TblProd[[#This Row],[Plat Bonus]],TblPop[[#This Row],[Peasants]]*4) + SUM(TblConstr[[#This Row],[Dest Hom]:[Dest Doc]])*TblConstr[[#This Row],[CPA Platinum -DB]]*tech_3_3_2*TblTech[[#This Row],[3-3]]</f>
        <v>53340</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15616</v>
      </c>
      <c r="K16" s="113">
        <f ca="1">OFFSET(TblProd[[#This Row],[Mana]],-1,0)+OFFSET(TblProd[[#This Row],[Mana/hr]],-1,0)- TblProd[[#This Row],[Expenses Mana]]</f>
        <v>375</v>
      </c>
      <c r="L16" s="113">
        <f ca="1">OFFSET(TblProd[[#This Row],[Ore]],-1,0)+OFFSET(TblProd[[#This Row],[Ore/hr]],-1,0) -TblProd[[#This Row],[Expenses Ore]]</f>
        <v>0</v>
      </c>
      <c r="M16" s="113">
        <f ca="1">OFFSET(TblProd[[#This Row],[Gems]],-1,0)+OFFSET(TblProd[[#This Row],[Gems/hr]],-1,0) - TblProd[[#This Row],[Expenses Gems]]</f>
        <v>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5848</v>
      </c>
      <c r="T16" s="113">
        <f ca="1">ROUND(TblProd[[#This Row],[Raw Food/hr]]*(1+TblProd[[#This Row],[Bonus Food/hr]])-TblProd[[#This Row],[Food decay]]-TblProd[[#This Row],[Food eaten]],0)</f>
        <v>1700</v>
      </c>
      <c r="U16" s="113">
        <f ca="1">ROUND(TblProd[[#This Row],[Raw Lumber/hr]]*(1+TblProd[[#This Row],[Bonus Lumber/hr]])-TblProd[[#This Row],[Lumber rot]],0)</f>
        <v>844</v>
      </c>
      <c r="V16" s="113">
        <f ca="1">ROUND(TblProd[[#This Row],[Raw Mana/hr]]*(1+TblProd[[#This Row],[Bonus Mana/hr]])-TblProd[[#This Row],[Mana drain]],0)</f>
        <v>368</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5848.2000000000007</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375</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506</v>
      </c>
      <c r="AQ16" s="113">
        <f ca="1">TblProd[[#This Row],[Lumber]]*lumber_rot * (1 + tech_2_1*TblTech[[#This Row],[2-1]] + tech_2_8*TblTech[[#This Row],[2-8]] + tech_5_2*TblTech[[#This Row],[5-2]])</f>
        <v>156.16</v>
      </c>
      <c r="AR16" s="113">
        <f ca="1">TblProd[[#This Row],[Mana]]*mana_drain * (1 + tech_2_1*TblTech[[#This Row],[2-1]] + tech_2_8*TblTech[[#This Row],[2-8]])</f>
        <v>7.5</v>
      </c>
      <c r="AS16" s="200"/>
      <c r="AT16" s="113">
        <f ca="1">TblExplore[[#This Row],[Platinum (2)]]+TblConstr[[#This Row],[Total Plat Cost]]+TblMili[[#This Row],[Plat Cost]]+TblRezone[[#This Row],[Platinum cost]]+TblImps[[#This Row],[P1]]-TblProd[[#This Row],[Bank Plat]]</f>
        <v>51850</v>
      </c>
      <c r="AU16" s="113">
        <f ca="1">TblConstr[[#This Row],[Total Lum Cost]]+TblImps[[#This Row],[L1]]-TblProd[[#This Row],[Bank Lumber]] + Military!$CH$25*TblMili[[#This Row],[Sec. rec. Cost]]</f>
        <v>2800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44405.249999999971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53340</v>
      </c>
      <c r="BJ16" s="113">
        <f ca="1">TblProd[[#This Row],[Food]]</f>
        <v>37405</v>
      </c>
      <c r="BK16" s="113">
        <f ca="1">TblProd[[#This Row],[Lumber]]</f>
        <v>15616</v>
      </c>
      <c r="BL16" s="113">
        <f ca="1">TblProd[[#This Row],[Mana]]</f>
        <v>375</v>
      </c>
      <c r="BM16" s="113">
        <f ca="1">TblProd[[#This Row],[Ore]]</f>
        <v>0</v>
      </c>
    </row>
    <row r="17" spans="1:65" x14ac:dyDescent="0.2">
      <c r="A17" s="178">
        <v>14</v>
      </c>
      <c r="B17" s="198">
        <f ca="1">TblImps[[#This Row],[Time]]</f>
        <v>44405.291666666635</v>
      </c>
      <c r="C17" s="199"/>
      <c r="D17" s="200"/>
      <c r="E17" s="113">
        <f ca="1">TblConstr[[#This Row],[Land]]</f>
        <v>250</v>
      </c>
      <c r="F17" s="113">
        <f ca="1">TblPop[[#This Row],[Peasants]]</f>
        <v>1722</v>
      </c>
      <c r="G17" s="113">
        <f ca="1">TblMili[[#This Row],[Networth (2)]]</f>
        <v>6100</v>
      </c>
      <c r="H17" s="113">
        <f ca="1">OFFSET(TblProd[[#This Row],[Platinum]],-1,0)+OFFSET(TblProd[[#This Row],[Plat/hr]],-1,0) - TblProd[[#This Row],[Expenses Platinum]] + IF(TblProd[[#This Row],[Plat Bonus]],TblPop[[#This Row],[Peasants]]*4) + SUM(TblConstr[[#This Row],[Dest Hom]:[Dest Doc]])*TblConstr[[#This Row],[CPA Platinum -DB]]*tech_3_3_2*TblTech[[#This Row],[3-3]]</f>
        <v>59188</v>
      </c>
      <c r="I17" s="113">
        <f ca="1">OFFSET(TblProd[[#This Row],[Food]],-1,0)+OFFSET(TblProd[[#This Row],[Food/hr]],-1,0)+ROUNDUP((TblConstr[[#This Row],[Farms]]*80+TblConstr[[#This Row],[Docks]]*35)*(1+OFFSET(TblProd[[#This Row],[Bonus Food/hr]],-1,0)),0)</f>
        <v>39105</v>
      </c>
      <c r="J17" s="113">
        <f ca="1">OFFSET(TblProd[[#This Row],[Lumber]],-1,0)+OFFSET(TblProd[[#This Row],[Lumber/hr]],-1,0) - TblProd[[#This Row],[Expenses Lumber]] + SUM(TblConstr[[#This Row],[Dest Hom]:[Dest Doc]])*TblConstr[[#This Row],[CPA Lumber -DB]]*tech_3_3_2*TblTech[[#This Row],[3-3]]</f>
        <v>16460</v>
      </c>
      <c r="K17" s="113">
        <f ca="1">OFFSET(TblProd[[#This Row],[Mana]],-1,0)+OFFSET(TblProd[[#This Row],[Mana/hr]],-1,0)- TblProd[[#This Row],[Expenses Mana]]</f>
        <v>118</v>
      </c>
      <c r="L17" s="113">
        <f ca="1">OFFSET(TblProd[[#This Row],[Ore]],-1,0)+OFFSET(TblProd[[#This Row],[Ore/hr]],-1,0) -TblProd[[#This Row],[Expenses Ore]]</f>
        <v>0</v>
      </c>
      <c r="M17" s="113">
        <f ca="1">OFFSET(TblProd[[#This Row],[Gems]],-1,0)+OFFSET(TblProd[[#This Row],[Gems/hr]],-1,0) - TblProd[[#This Row],[Expenses Gems]]</f>
        <v>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5999</v>
      </c>
      <c r="T17" s="113">
        <f ca="1">ROUND(TblProd[[#This Row],[Raw Food/hr]]*(1+TblProd[[#This Row],[Bonus Food/hr]])-TblProd[[#This Row],[Food decay]]-TblProd[[#This Row],[Food eaten]],0)</f>
        <v>1665</v>
      </c>
      <c r="U17" s="113">
        <f ca="1">ROUND(TblProd[[#This Row],[Raw Lumber/hr]]*(1+TblProd[[#This Row],[Bonus Lumber/hr]])-TblProd[[#This Row],[Lumber rot]],0)</f>
        <v>835</v>
      </c>
      <c r="V17" s="113">
        <f ca="1">ROUND(TblProd[[#This Row],[Raw Mana/hr]]*(1+TblProd[[#This Row],[Bonus Mana/hr]])-TblProd[[#This Row],[Mana drain]],0)</f>
        <v>373</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5999.4000000000005</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375</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391.05</v>
      </c>
      <c r="AP17" s="113">
        <f ca="1">(1+race_food_consumption)*TblPop[[#This Row],[Total]]*food_per_person*(1+tech_1_10*TblTech[[#This Row],[1-10]]+tech_7_5*TblTech[[#This Row],[7-5]])</f>
        <v>524.25</v>
      </c>
      <c r="AQ17" s="113">
        <f ca="1">TblProd[[#This Row],[Lumber]]*lumber_rot * (1 + tech_2_1*TblTech[[#This Row],[2-1]] + tech_2_8*TblTech[[#This Row],[2-8]] + tech_5_2*TblTech[[#This Row],[5-2]])</f>
        <v>164.6</v>
      </c>
      <c r="AR17" s="113">
        <f ca="1">TblProd[[#This Row],[Mana]]*mana_drain * (1 + tech_2_1*TblTech[[#This Row],[2-1]] + tech_2_8*TblTech[[#This Row],[2-8]])</f>
        <v>2.36</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625</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44405.291666666635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59188</v>
      </c>
      <c r="BJ17" s="113">
        <f ca="1">TblProd[[#This Row],[Food]]</f>
        <v>39105</v>
      </c>
      <c r="BK17" s="113">
        <f ca="1">TblProd[[#This Row],[Lumber]]</f>
        <v>16460</v>
      </c>
      <c r="BL17" s="113">
        <f ca="1">TblProd[[#This Row],[Mana]]</f>
        <v>118</v>
      </c>
      <c r="BM17" s="113">
        <f ca="1">TblProd[[#This Row],[Ore]]</f>
        <v>0</v>
      </c>
    </row>
    <row r="18" spans="1:65" x14ac:dyDescent="0.2">
      <c r="A18" s="178">
        <v>15</v>
      </c>
      <c r="B18" s="198">
        <f ca="1">TblImps[[#This Row],[Time]]</f>
        <v>44405.333333333299</v>
      </c>
      <c r="C18" s="199"/>
      <c r="D18" s="200"/>
      <c r="E18" s="113">
        <f ca="1">TblConstr[[#This Row],[Land]]</f>
        <v>250</v>
      </c>
      <c r="F18" s="113">
        <f ca="1">TblPop[[#This Row],[Peasants]]</f>
        <v>1806</v>
      </c>
      <c r="G18" s="113">
        <f ca="1">TblMili[[#This Row],[Networth (2)]]</f>
        <v>6100</v>
      </c>
      <c r="H18" s="113">
        <f ca="1">OFFSET(TblProd[[#This Row],[Platinum]],-1,0)+OFFSET(TblProd[[#This Row],[Plat/hr]],-1,0) - TblProd[[#This Row],[Expenses Platinum]] + IF(TblProd[[#This Row],[Plat Bonus]],TblPop[[#This Row],[Peasants]]*4) + SUM(TblConstr[[#This Row],[Dest Hom]:[Dest Doc]])*TblConstr[[#This Row],[CPA Platinum -DB]]*tech_3_3_2*TblTech[[#This Row],[3-3]]</f>
        <v>65187</v>
      </c>
      <c r="I18" s="113">
        <f ca="1">OFFSET(TblProd[[#This Row],[Food]],-1,0)+OFFSET(TblProd[[#This Row],[Food/hr]],-1,0)+ROUNDUP((TblConstr[[#This Row],[Farms]]*80+TblConstr[[#This Row],[Docks]]*35)*(1+OFFSET(TblProd[[#This Row],[Bonus Food/hr]],-1,0)),0)</f>
        <v>40770</v>
      </c>
      <c r="J18" s="113">
        <f ca="1">OFFSET(TblProd[[#This Row],[Lumber]],-1,0)+OFFSET(TblProd[[#This Row],[Lumber/hr]],-1,0) - TblProd[[#This Row],[Expenses Lumber]] + SUM(TblConstr[[#This Row],[Dest Hom]:[Dest Doc]])*TblConstr[[#This Row],[CPA Lumber -DB]]*tech_3_3_2*TblTech[[#This Row],[3-3]]</f>
        <v>17295</v>
      </c>
      <c r="K18" s="113">
        <f ca="1">OFFSET(TblProd[[#This Row],[Mana]],-1,0)+OFFSET(TblProd[[#This Row],[Mana/hr]],-1,0)- TblProd[[#This Row],[Expenses Mana]]</f>
        <v>491</v>
      </c>
      <c r="L18" s="113">
        <f ca="1">OFFSET(TblProd[[#This Row],[Ore]],-1,0)+OFFSET(TblProd[[#This Row],[Ore/hr]],-1,0) -TblProd[[#This Row],[Expenses Ore]]</f>
        <v>0</v>
      </c>
      <c r="M18" s="113">
        <f ca="1">OFFSET(TblProd[[#This Row],[Gems]],-1,0)+OFFSET(TblProd[[#This Row],[Gems/hr]],-1,0) - TblProd[[#This Row],[Expenses Gems]]</f>
        <v>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6226</v>
      </c>
      <c r="T18" s="113">
        <f ca="1">ROUND(TblProd[[#This Row],[Raw Food/hr]]*(1+TblProd[[#This Row],[Bonus Food/hr]])-TblProd[[#This Row],[Food decay]]-TblProd[[#This Row],[Food eaten]],0)</f>
        <v>1623</v>
      </c>
      <c r="U18" s="113">
        <f ca="1">ROUND(TblProd[[#This Row],[Raw Lumber/hr]]*(1+TblProd[[#This Row],[Bonus Lumber/hr]])-TblProd[[#This Row],[Lumber rot]],0)</f>
        <v>827</v>
      </c>
      <c r="V18" s="113">
        <f ca="1">ROUND(TblProd[[#This Row],[Raw Mana/hr]]*(1+TblProd[[#This Row],[Bonus Mana/hr]])-TblProd[[#This Row],[Mana drain]],0)</f>
        <v>365</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6226.2000000000007</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375</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407.7</v>
      </c>
      <c r="AP18" s="113">
        <f ca="1">(1+race_food_consumption)*TblPop[[#This Row],[Total]]*food_per_person*(1+tech_1_10*TblTech[[#This Row],[1-10]]+tech_7_5*TblTech[[#This Row],[7-5]])</f>
        <v>549.5</v>
      </c>
      <c r="AQ18" s="113">
        <f ca="1">TblProd[[#This Row],[Lumber]]*lumber_rot * (1 + tech_2_1*TblTech[[#This Row],[2-1]] + tech_2_8*TblTech[[#This Row],[2-8]] + tech_5_2*TblTech[[#This Row],[5-2]])</f>
        <v>172.95000000000002</v>
      </c>
      <c r="AR18" s="113">
        <f ca="1">TblProd[[#This Row],[Mana]]*mana_drain * (1 + tech_2_1*TblTech[[#This Row],[2-1]] + tech_2_8*TblTech[[#This Row],[2-8]])</f>
        <v>9.82</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44405.333333333299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65187</v>
      </c>
      <c r="BJ18" s="113">
        <f ca="1">TblProd[[#This Row],[Food]]</f>
        <v>40770</v>
      </c>
      <c r="BK18" s="113">
        <f ca="1">TblProd[[#This Row],[Lumber]]</f>
        <v>17295</v>
      </c>
      <c r="BL18" s="113">
        <f ca="1">TblProd[[#This Row],[Mana]]</f>
        <v>491</v>
      </c>
      <c r="BM18" s="113">
        <f ca="1">TblProd[[#This Row],[Ore]]</f>
        <v>0</v>
      </c>
    </row>
    <row r="19" spans="1:65" x14ac:dyDescent="0.2">
      <c r="A19" s="178">
        <v>16</v>
      </c>
      <c r="B19" s="198">
        <f ca="1">TblImps[[#This Row],[Time]]</f>
        <v>44405.374999999964</v>
      </c>
      <c r="C19" s="199"/>
      <c r="D19" s="200"/>
      <c r="E19" s="113">
        <f ca="1">TblConstr[[#This Row],[Land]]</f>
        <v>250</v>
      </c>
      <c r="F19" s="113">
        <f ca="1">TblPop[[#This Row],[Peasants]]</f>
        <v>1894</v>
      </c>
      <c r="G19" s="113">
        <f ca="1">TblMili[[#This Row],[Networth (2)]]</f>
        <v>6100</v>
      </c>
      <c r="H19" s="113">
        <f ca="1">OFFSET(TblProd[[#This Row],[Platinum]],-1,0)+OFFSET(TblProd[[#This Row],[Plat/hr]],-1,0) - TblProd[[#This Row],[Expenses Platinum]] + IF(TblProd[[#This Row],[Plat Bonus]],TblPop[[#This Row],[Peasants]]*4) + SUM(TblConstr[[#This Row],[Dest Hom]:[Dest Doc]])*TblConstr[[#This Row],[CPA Platinum -DB]]*tech_3_3_2*TblTech[[#This Row],[3-3]]</f>
        <v>71413</v>
      </c>
      <c r="I19" s="113">
        <f ca="1">OFFSET(TblProd[[#This Row],[Food]],-1,0)+OFFSET(TblProd[[#This Row],[Food/hr]],-1,0)+ROUNDUP((TblConstr[[#This Row],[Farms]]*80+TblConstr[[#This Row],[Docks]]*35)*(1+OFFSET(TblProd[[#This Row],[Bonus Food/hr]],-1,0)),0)</f>
        <v>42393</v>
      </c>
      <c r="J19" s="113">
        <f ca="1">OFFSET(TblProd[[#This Row],[Lumber]],-1,0)+OFFSET(TblProd[[#This Row],[Lumber/hr]],-1,0) - TblProd[[#This Row],[Expenses Lumber]] + SUM(TblConstr[[#This Row],[Dest Hom]:[Dest Doc]])*TblConstr[[#This Row],[CPA Lumber -DB]]*tech_3_3_2*TblTech[[#This Row],[3-3]]</f>
        <v>18122</v>
      </c>
      <c r="K19" s="113">
        <f ca="1">OFFSET(TblProd[[#This Row],[Mana]],-1,0)+OFFSET(TblProd[[#This Row],[Mana/hr]],-1,0)- TblProd[[#This Row],[Expenses Mana]]</f>
        <v>231</v>
      </c>
      <c r="L19" s="113">
        <f ca="1">OFFSET(TblProd[[#This Row],[Ore]],-1,0)+OFFSET(TblProd[[#This Row],[Ore/hr]],-1,0) -TblProd[[#This Row],[Expenses Ore]]</f>
        <v>0</v>
      </c>
      <c r="M19" s="113">
        <f ca="1">OFFSET(TblProd[[#This Row],[Gems]],-1,0)+OFFSET(TblProd[[#This Row],[Gems/hr]],-1,0) - TblProd[[#This Row],[Expenses Gems]]</f>
        <v>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7110</v>
      </c>
      <c r="T19" s="113">
        <f ca="1">ROUND(TblProd[[#This Row],[Raw Food/hr]]*(1+TblProd[[#This Row],[Bonus Food/hr]])-TblProd[[#This Row],[Food decay]]-TblProd[[#This Row],[Food eaten]],0)</f>
        <v>1580</v>
      </c>
      <c r="U19" s="113">
        <f ca="1">ROUND(TblProd[[#This Row],[Raw Lumber/hr]]*(1+TblProd[[#This Row],[Bonus Lumber/hr]])-TblProd[[#This Row],[Lumber rot]],0)</f>
        <v>819</v>
      </c>
      <c r="V19" s="113">
        <f ca="1">ROUND(TblProd[[#This Row],[Raw Mana/hr]]*(1+TblProd[[#This Row],[Bonus Mana/hr]])-TblProd[[#This Row],[Mana drain]],0)</f>
        <v>370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6463.8</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375</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0.1</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423.93</v>
      </c>
      <c r="AP19" s="113">
        <f ca="1">(1+race_food_consumption)*TblPop[[#This Row],[Total]]*food_per_person*(1+tech_1_10*TblTech[[#This Row],[1-10]]+tech_7_5*TblTech[[#This Row],[7-5]])</f>
        <v>576</v>
      </c>
      <c r="AQ19" s="113">
        <f ca="1">TblProd[[#This Row],[Lumber]]*lumber_rot * (1 + tech_2_1*TblTech[[#This Row],[2-1]] + tech_2_8*TblTech[[#This Row],[2-8]] + tech_5_2*TblTech[[#This Row],[5-2]])</f>
        <v>181.22</v>
      </c>
      <c r="AR19" s="113">
        <f ca="1">TblProd[[#This Row],[Mana]]*mana_drain * (1 + tech_2_1*TblTech[[#This Row],[2-1]] + tech_2_8*TblTech[[#This Row],[2-8]])</f>
        <v>4.62</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625</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44405.374999999964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71413</v>
      </c>
      <c r="BJ19" s="113">
        <f ca="1">TblProd[[#This Row],[Food]]</f>
        <v>42393</v>
      </c>
      <c r="BK19" s="113">
        <f ca="1">TblProd[[#This Row],[Lumber]]</f>
        <v>18122</v>
      </c>
      <c r="BL19" s="113">
        <f ca="1">TblProd[[#This Row],[Mana]]</f>
        <v>231</v>
      </c>
      <c r="BM19" s="113">
        <f ca="1">TblProd[[#This Row],[Ore]]</f>
        <v>0</v>
      </c>
    </row>
    <row r="20" spans="1:65" x14ac:dyDescent="0.2">
      <c r="A20" s="178">
        <v>17</v>
      </c>
      <c r="B20" s="198">
        <f ca="1">TblImps[[#This Row],[Time]]</f>
        <v>44405.416666666628</v>
      </c>
      <c r="C20" s="199"/>
      <c r="D20" s="200"/>
      <c r="E20" s="113">
        <f ca="1">TblConstr[[#This Row],[Land]]</f>
        <v>250</v>
      </c>
      <c r="F20" s="113">
        <f ca="1">TblPop[[#This Row],[Peasants]]</f>
        <v>1986</v>
      </c>
      <c r="G20" s="113">
        <f ca="1">TblMili[[#This Row],[Networth (2)]]</f>
        <v>6100</v>
      </c>
      <c r="H20" s="113">
        <f ca="1">OFFSET(TblProd[[#This Row],[Platinum]],-1,0)+OFFSET(TblProd[[#This Row],[Plat/hr]],-1,0) - TblProd[[#This Row],[Expenses Platinum]] + IF(TblProd[[#This Row],[Plat Bonus]],TblPop[[#This Row],[Peasants]]*4) + SUM(TblConstr[[#This Row],[Dest Hom]:[Dest Doc]])*TblConstr[[#This Row],[CPA Platinum -DB]]*tech_3_3_2*TblTech[[#This Row],[3-3]]</f>
        <v>78523</v>
      </c>
      <c r="I20" s="113">
        <f ca="1">OFFSET(TblProd[[#This Row],[Food]],-1,0)+OFFSET(TblProd[[#This Row],[Food/hr]],-1,0)+ROUNDUP((TblConstr[[#This Row],[Farms]]*80+TblConstr[[#This Row],[Docks]]*35)*(1+OFFSET(TblProd[[#This Row],[Bonus Food/hr]],-1,0)),0)</f>
        <v>43973</v>
      </c>
      <c r="J20" s="113">
        <f ca="1">OFFSET(TblProd[[#This Row],[Lumber]],-1,0)+OFFSET(TblProd[[#This Row],[Lumber/hr]],-1,0) - TblProd[[#This Row],[Expenses Lumber]] + SUM(TblConstr[[#This Row],[Dest Hom]:[Dest Doc]])*TblConstr[[#This Row],[CPA Lumber -DB]]*tech_3_3_2*TblTech[[#This Row],[3-3]]</f>
        <v>18941</v>
      </c>
      <c r="K20" s="113">
        <f ca="1">OFFSET(TblProd[[#This Row],[Mana]],-1,0)+OFFSET(TblProd[[#This Row],[Mana/hr]],-1,0)- TblProd[[#This Row],[Expenses Mana]]</f>
        <v>601</v>
      </c>
      <c r="L20" s="113">
        <f ca="1">OFFSET(TblProd[[#This Row],[Ore]],-1,0)+OFFSET(TblProd[[#This Row],[Ore/hr]],-1,0) -TblProd[[#This Row],[Expenses Ore]]</f>
        <v>0</v>
      </c>
      <c r="M20" s="113">
        <f ca="1">OFFSET(TblProd[[#This Row],[Gems]],-1,0)+OFFSET(TblProd[[#This Row],[Gems/hr]],-1,0) - TblProd[[#This Row],[Expenses Gems]]</f>
        <v>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7383</v>
      </c>
      <c r="T20" s="113">
        <f ca="1">ROUND(TblProd[[#This Row],[Raw Food/hr]]*(1+TblProd[[#This Row],[Bonus Food/hr]])-TblProd[[#This Row],[Food decay]]-TblProd[[#This Row],[Food eaten]],0)</f>
        <v>1537</v>
      </c>
      <c r="U20" s="113">
        <f ca="1">ROUND(TblProd[[#This Row],[Raw Lumber/hr]]*(1+TblProd[[#This Row],[Bonus Lumber/hr]])-TblProd[[#This Row],[Lumber rot]],0)</f>
        <v>811</v>
      </c>
      <c r="V20" s="113">
        <f ca="1">ROUND(TblProd[[#This Row],[Raw Mana/hr]]*(1+TblProd[[#This Row],[Bonus Mana/hr]])-TblProd[[#This Row],[Mana drain]],0)</f>
        <v>363</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6712.2000000000007</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375</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0.1</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439.73</v>
      </c>
      <c r="AP20" s="113">
        <f ca="1">(1+race_food_consumption)*TblPop[[#This Row],[Total]]*food_per_person*(1+tech_1_10*TblTech[[#This Row],[1-10]]+tech_7_5*TblTech[[#This Row],[7-5]])</f>
        <v>603.75</v>
      </c>
      <c r="AQ20" s="113">
        <f ca="1">TblProd[[#This Row],[Lumber]]*lumber_rot * (1 + tech_2_1*TblTech[[#This Row],[2-1]] + tech_2_8*TblTech[[#This Row],[2-8]] + tech_5_2*TblTech[[#This Row],[5-2]])</f>
        <v>189.41</v>
      </c>
      <c r="AR20" s="113">
        <f ca="1">TblProd[[#This Row],[Mana]]*mana_drain * (1 + tech_2_1*TblTech[[#This Row],[2-1]] + tech_2_8*TblTech[[#This Row],[2-8]])</f>
        <v>12.02</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44405.416666666628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78523</v>
      </c>
      <c r="BJ20" s="113">
        <f ca="1">TblProd[[#This Row],[Food]]</f>
        <v>43973</v>
      </c>
      <c r="BK20" s="113">
        <f ca="1">TblProd[[#This Row],[Lumber]]</f>
        <v>18941</v>
      </c>
      <c r="BL20" s="113">
        <f ca="1">TblProd[[#This Row],[Mana]]</f>
        <v>601</v>
      </c>
      <c r="BM20" s="113">
        <f ca="1">TblProd[[#This Row],[Ore]]</f>
        <v>0</v>
      </c>
    </row>
    <row r="21" spans="1:65" x14ac:dyDescent="0.2">
      <c r="A21" s="178">
        <v>18</v>
      </c>
      <c r="B21" s="198">
        <f ca="1">TblImps[[#This Row],[Time]]</f>
        <v>44405.458333333292</v>
      </c>
      <c r="C21" s="199"/>
      <c r="D21" s="200"/>
      <c r="E21" s="113">
        <f ca="1">TblConstr[[#This Row],[Land]]</f>
        <v>250</v>
      </c>
      <c r="F21" s="113">
        <f ca="1">TblPop[[#This Row],[Peasants]]</f>
        <v>2083</v>
      </c>
      <c r="G21" s="113">
        <f ca="1">TblMili[[#This Row],[Networth (2)]]</f>
        <v>6100</v>
      </c>
      <c r="H21" s="113">
        <f ca="1">OFFSET(TblProd[[#This Row],[Platinum]],-1,0)+OFFSET(TblProd[[#This Row],[Plat/hr]],-1,0) - TblProd[[#This Row],[Expenses Platinum]] + IF(TblProd[[#This Row],[Plat Bonus]],TblPop[[#This Row],[Peasants]]*4) + SUM(TblConstr[[#This Row],[Dest Hom]:[Dest Doc]])*TblConstr[[#This Row],[CPA Platinum -DB]]*tech_3_3_2*TblTech[[#This Row],[3-3]]</f>
        <v>85906</v>
      </c>
      <c r="I21" s="113">
        <f ca="1">OFFSET(TblProd[[#This Row],[Food]],-1,0)+OFFSET(TblProd[[#This Row],[Food/hr]],-1,0)+ROUNDUP((TblConstr[[#This Row],[Farms]]*80+TblConstr[[#This Row],[Docks]]*35)*(1+OFFSET(TblProd[[#This Row],[Bonus Food/hr]],-1,0)),0)</f>
        <v>45510</v>
      </c>
      <c r="J21" s="113">
        <f ca="1">OFFSET(TblProd[[#This Row],[Lumber]],-1,0)+OFFSET(TblProd[[#This Row],[Lumber/hr]],-1,0) - TblProd[[#This Row],[Expenses Lumber]] + SUM(TblConstr[[#This Row],[Dest Hom]:[Dest Doc]])*TblConstr[[#This Row],[CPA Lumber -DB]]*tech_3_3_2*TblTech[[#This Row],[3-3]]</f>
        <v>19752</v>
      </c>
      <c r="K21" s="113">
        <f ca="1">OFFSET(TblProd[[#This Row],[Mana]],-1,0)+OFFSET(TblProd[[#This Row],[Mana/hr]],-1,0)- TblProd[[#This Row],[Expenses Mana]]</f>
        <v>964</v>
      </c>
      <c r="L21" s="113">
        <f ca="1">OFFSET(TblProd[[#This Row],[Ore]],-1,0)+OFFSET(TblProd[[#This Row],[Ore/hr]],-1,0) -TblProd[[#This Row],[Expenses Ore]]</f>
        <v>0</v>
      </c>
      <c r="M21" s="113">
        <f ca="1">OFFSET(TblProd[[#This Row],[Gems]],-1,0)+OFFSET(TblProd[[#This Row],[Gems/hr]],-1,0) - TblProd[[#This Row],[Expenses Gems]]</f>
        <v>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7671</v>
      </c>
      <c r="T21" s="113">
        <f ca="1">ROUND(TblProd[[#This Row],[Raw Food/hr]]*(1+TblProd[[#This Row],[Bonus Food/hr]])-TblProd[[#This Row],[Food decay]]-TblProd[[#This Row],[Food eaten]],0)</f>
        <v>1492</v>
      </c>
      <c r="U21" s="113">
        <f ca="1">ROUND(TblProd[[#This Row],[Raw Lumber/hr]]*(1+TblProd[[#This Row],[Bonus Lumber/hr]])-TblProd[[#This Row],[Lumber rot]],0)</f>
        <v>802</v>
      </c>
      <c r="V21" s="113">
        <f ca="1">ROUND(TblProd[[#This Row],[Raw Mana/hr]]*(1+TblProd[[#This Row],[Bonus Mana/hr]])-TblProd[[#This Row],[Mana drain]],0)</f>
        <v>356</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6974.1</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375</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0.1</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455.1</v>
      </c>
      <c r="AP21" s="113">
        <f ca="1">(1+race_food_consumption)*TblPop[[#This Row],[Total]]*food_per_person*(1+tech_1_10*TblTech[[#This Row],[1-10]]+tech_7_5*TblTech[[#This Row],[7-5]])</f>
        <v>633</v>
      </c>
      <c r="AQ21" s="113">
        <f ca="1">TblProd[[#This Row],[Lumber]]*lumber_rot * (1 + tech_2_1*TblTech[[#This Row],[2-1]] + tech_2_8*TblTech[[#This Row],[2-8]] + tech_5_2*TblTech[[#This Row],[5-2]])</f>
        <v>197.52</v>
      </c>
      <c r="AR21" s="113">
        <f ca="1">TblProd[[#This Row],[Mana]]*mana_drain * (1 + tech_2_1*TblTech[[#This Row],[2-1]] + tech_2_8*TblTech[[#This Row],[2-8]])</f>
        <v>19.28</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44405.458333333292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85906</v>
      </c>
      <c r="BJ21" s="113">
        <f ca="1">TblProd[[#This Row],[Food]]</f>
        <v>45510</v>
      </c>
      <c r="BK21" s="113">
        <f ca="1">TblProd[[#This Row],[Lumber]]</f>
        <v>19752</v>
      </c>
      <c r="BL21" s="113">
        <f ca="1">TblProd[[#This Row],[Mana]]</f>
        <v>964</v>
      </c>
      <c r="BM21" s="113">
        <f ca="1">TblProd[[#This Row],[Ore]]</f>
        <v>0</v>
      </c>
    </row>
    <row r="22" spans="1:65" x14ac:dyDescent="0.2">
      <c r="A22" s="178">
        <v>19</v>
      </c>
      <c r="B22" s="198">
        <f ca="1">TblImps[[#This Row],[Time]]</f>
        <v>44405.499999999956</v>
      </c>
      <c r="C22" s="199"/>
      <c r="D22" s="200"/>
      <c r="E22" s="113">
        <f ca="1">TblConstr[[#This Row],[Land]]</f>
        <v>250</v>
      </c>
      <c r="F22" s="113">
        <f ca="1">TblPop[[#This Row],[Peasants]]</f>
        <v>2184</v>
      </c>
      <c r="G22" s="113">
        <f ca="1">TblMili[[#This Row],[Networth (2)]]</f>
        <v>6100</v>
      </c>
      <c r="H22" s="113">
        <f ca="1">OFFSET(TblProd[[#This Row],[Platinum]],-1,0)+OFFSET(TblProd[[#This Row],[Plat/hr]],-1,0) - TblProd[[#This Row],[Expenses Platinum]] + IF(TblProd[[#This Row],[Plat Bonus]],TblPop[[#This Row],[Peasants]]*4) + SUM(TblConstr[[#This Row],[Dest Hom]:[Dest Doc]])*TblConstr[[#This Row],[CPA Platinum -DB]]*tech_3_3_2*TblTech[[#This Row],[3-3]]</f>
        <v>93577</v>
      </c>
      <c r="I22" s="113">
        <f ca="1">OFFSET(TblProd[[#This Row],[Food]],-1,0)+OFFSET(TblProd[[#This Row],[Food/hr]],-1,0)+ROUNDUP((TblConstr[[#This Row],[Farms]]*80+TblConstr[[#This Row],[Docks]]*35)*(1+OFFSET(TblProd[[#This Row],[Bonus Food/hr]],-1,0)),0)</f>
        <v>47002</v>
      </c>
      <c r="J22" s="113">
        <f ca="1">OFFSET(TblProd[[#This Row],[Lumber]],-1,0)+OFFSET(TblProd[[#This Row],[Lumber/hr]],-1,0) - TblProd[[#This Row],[Expenses Lumber]] + SUM(TblConstr[[#This Row],[Dest Hom]:[Dest Doc]])*TblConstr[[#This Row],[CPA Lumber -DB]]*tech_3_3_2*TblTech[[#This Row],[3-3]]</f>
        <v>20554</v>
      </c>
      <c r="K22" s="113">
        <f ca="1">OFFSET(TblProd[[#This Row],[Mana]],-1,0)+OFFSET(TblProd[[#This Row],[Mana/hr]],-1,0)- TblProd[[#This Row],[Expenses Mana]]</f>
        <v>1320</v>
      </c>
      <c r="L22" s="113">
        <f ca="1">OFFSET(TblProd[[#This Row],[Ore]],-1,0)+OFFSET(TblProd[[#This Row],[Ore/hr]],-1,0) -TblProd[[#This Row],[Expenses Ore]]</f>
        <v>0</v>
      </c>
      <c r="M22" s="113">
        <f ca="1">OFFSET(TblProd[[#This Row],[Gems]],-1,0)+OFFSET(TblProd[[#This Row],[Gems/hr]],-1,0) - TblProd[[#This Row],[Expenses Gems]]</f>
        <v>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7971</v>
      </c>
      <c r="T22" s="113">
        <f ca="1">ROUND(TblProd[[#This Row],[Raw Food/hr]]*(1+TblProd[[#This Row],[Bonus Food/hr]])-TblProd[[#This Row],[Food decay]]-TblProd[[#This Row],[Food eaten]],0)</f>
        <v>1446</v>
      </c>
      <c r="U22" s="113">
        <f ca="1">ROUND(TblProd[[#This Row],[Raw Lumber/hr]]*(1+TblProd[[#This Row],[Bonus Lumber/hr]])-TblProd[[#This Row],[Lumber rot]],0)</f>
        <v>794</v>
      </c>
      <c r="V22" s="113">
        <f ca="1">ROUND(TblProd[[#This Row],[Raw Mana/hr]]*(1+TblProd[[#This Row],[Bonus Mana/hr]])-TblProd[[#This Row],[Mana drain]],0)</f>
        <v>349</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7246.8</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375</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0.1</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470.02</v>
      </c>
      <c r="AP22" s="113">
        <f ca="1">(1+race_food_consumption)*TblPop[[#This Row],[Total]]*food_per_person*(1+tech_1_10*TblTech[[#This Row],[1-10]]+tech_7_5*TblTech[[#This Row],[7-5]])</f>
        <v>663.5</v>
      </c>
      <c r="AQ22" s="113">
        <f ca="1">TblProd[[#This Row],[Lumber]]*lumber_rot * (1 + tech_2_1*TblTech[[#This Row],[2-1]] + tech_2_8*TblTech[[#This Row],[2-8]] + tech_5_2*TblTech[[#This Row],[5-2]])</f>
        <v>205.54</v>
      </c>
      <c r="AR22" s="113">
        <f ca="1">TblProd[[#This Row],[Mana]]*mana_drain * (1 + tech_2_1*TblTech[[#This Row],[2-1]] + tech_2_8*TblTech[[#This Row],[2-8]])</f>
        <v>26.400000000000002</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44405.499999999956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93577</v>
      </c>
      <c r="BJ22" s="113">
        <f ca="1">TblProd[[#This Row],[Food]]</f>
        <v>47002</v>
      </c>
      <c r="BK22" s="113">
        <f ca="1">TblProd[[#This Row],[Lumber]]</f>
        <v>20554</v>
      </c>
      <c r="BL22" s="113">
        <f ca="1">TblProd[[#This Row],[Mana]]</f>
        <v>1320</v>
      </c>
      <c r="BM22" s="113">
        <f ca="1">TblProd[[#This Row],[Ore]]</f>
        <v>0</v>
      </c>
    </row>
    <row r="23" spans="1:65" x14ac:dyDescent="0.2">
      <c r="A23" s="178">
        <v>20</v>
      </c>
      <c r="B23" s="198">
        <f ca="1">TblImps[[#This Row],[Time]]</f>
        <v>44405.541666666621</v>
      </c>
      <c r="C23" s="199"/>
      <c r="D23" s="200"/>
      <c r="E23" s="113">
        <f ca="1">TblConstr[[#This Row],[Land]]</f>
        <v>250</v>
      </c>
      <c r="F23" s="113">
        <f ca="1">TblPop[[#This Row],[Peasants]]</f>
        <v>2290</v>
      </c>
      <c r="G23" s="113">
        <f ca="1">TblMili[[#This Row],[Networth (2)]]</f>
        <v>6100</v>
      </c>
      <c r="H23" s="113">
        <f ca="1">OFFSET(TblProd[[#This Row],[Platinum]],-1,0)+OFFSET(TblProd[[#This Row],[Plat/hr]],-1,0) - TblProd[[#This Row],[Expenses Platinum]] + IF(TblProd[[#This Row],[Plat Bonus]],TblPop[[#This Row],[Peasants]]*4) + SUM(TblConstr[[#This Row],[Dest Hom]:[Dest Doc]])*TblConstr[[#This Row],[CPA Platinum -DB]]*tech_3_3_2*TblTech[[#This Row],[3-3]]</f>
        <v>101548</v>
      </c>
      <c r="I23" s="113">
        <f ca="1">OFFSET(TblProd[[#This Row],[Food]],-1,0)+OFFSET(TblProd[[#This Row],[Food/hr]],-1,0)+ROUNDUP((TblConstr[[#This Row],[Farms]]*80+TblConstr[[#This Row],[Docks]]*35)*(1+OFFSET(TblProd[[#This Row],[Bonus Food/hr]],-1,0)),0)</f>
        <v>48448</v>
      </c>
      <c r="J23" s="113">
        <f ca="1">OFFSET(TblProd[[#This Row],[Lumber]],-1,0)+OFFSET(TblProd[[#This Row],[Lumber/hr]],-1,0) - TblProd[[#This Row],[Expenses Lumber]] + SUM(TblConstr[[#This Row],[Dest Hom]:[Dest Doc]])*TblConstr[[#This Row],[CPA Lumber -DB]]*tech_3_3_2*TblTech[[#This Row],[3-3]]</f>
        <v>21348</v>
      </c>
      <c r="K23" s="113">
        <f ca="1">OFFSET(TblProd[[#This Row],[Mana]],-1,0)+OFFSET(TblProd[[#This Row],[Mana/hr]],-1,0)- TblProd[[#This Row],[Expenses Mana]]</f>
        <v>1669</v>
      </c>
      <c r="L23" s="113">
        <f ca="1">OFFSET(TblProd[[#This Row],[Ore]],-1,0)+OFFSET(TblProd[[#This Row],[Ore/hr]],-1,0) -TblProd[[#This Row],[Expenses Ore]]</f>
        <v>0</v>
      </c>
      <c r="M23" s="113">
        <f ca="1">OFFSET(TblProd[[#This Row],[Gems]],-1,0)+OFFSET(TblProd[[#This Row],[Gems/hr]],-1,0) - TblProd[[#This Row],[Expenses Gems]]</f>
        <v>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8286</v>
      </c>
      <c r="T23" s="113">
        <f ca="1">ROUND(TblProd[[#This Row],[Raw Food/hr]]*(1+TblProd[[#This Row],[Bonus Food/hr]])-TblProd[[#This Row],[Food decay]]-TblProd[[#This Row],[Food eaten]],0)</f>
        <v>1400</v>
      </c>
      <c r="U23" s="113">
        <f ca="1">ROUND(TblProd[[#This Row],[Raw Lumber/hr]]*(1+TblProd[[#This Row],[Bonus Lumber/hr]])-TblProd[[#This Row],[Lumber rot]],0)</f>
        <v>787</v>
      </c>
      <c r="V23" s="113">
        <f ca="1">ROUND(TblProd[[#This Row],[Raw Mana/hr]]*(1+TblProd[[#This Row],[Bonus Mana/hr]])-TblProd[[#This Row],[Mana drain]],0)</f>
        <v>342</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7533</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375</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0.1</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484.48</v>
      </c>
      <c r="AP23" s="113">
        <f ca="1">(1+race_food_consumption)*TblPop[[#This Row],[Total]]*food_per_person*(1+tech_1_10*TblTech[[#This Row],[1-10]]+tech_7_5*TblTech[[#This Row],[7-5]])</f>
        <v>695.5</v>
      </c>
      <c r="AQ23" s="113">
        <f ca="1">TblProd[[#This Row],[Lumber]]*lumber_rot * (1 + tech_2_1*TblTech[[#This Row],[2-1]] + tech_2_8*TblTech[[#This Row],[2-8]] + tech_5_2*TblTech[[#This Row],[5-2]])</f>
        <v>213.48000000000002</v>
      </c>
      <c r="AR23" s="113">
        <f ca="1">TblProd[[#This Row],[Mana]]*mana_drain * (1 + tech_2_1*TblTech[[#This Row],[2-1]] + tech_2_8*TblTech[[#This Row],[2-8]])</f>
        <v>33.380000000000003</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44405.541666666621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101548</v>
      </c>
      <c r="BJ23" s="113">
        <f ca="1">TblProd[[#This Row],[Food]]</f>
        <v>48448</v>
      </c>
      <c r="BK23" s="113">
        <f ca="1">TblProd[[#This Row],[Lumber]]</f>
        <v>21348</v>
      </c>
      <c r="BL23" s="113">
        <f ca="1">TblProd[[#This Row],[Mana]]</f>
        <v>1669</v>
      </c>
      <c r="BM23" s="113">
        <f ca="1">TblProd[[#This Row],[Ore]]</f>
        <v>0</v>
      </c>
    </row>
    <row r="24" spans="1:65" x14ac:dyDescent="0.2">
      <c r="A24" s="178">
        <v>21</v>
      </c>
      <c r="B24" s="198">
        <f ca="1">TblImps[[#This Row],[Time]]</f>
        <v>44405.583333333285</v>
      </c>
      <c r="C24" s="199"/>
      <c r="D24" s="200"/>
      <c r="E24" s="113">
        <f ca="1">TblConstr[[#This Row],[Land]]</f>
        <v>250</v>
      </c>
      <c r="F24" s="113">
        <f ca="1">TblPop[[#This Row],[Peasants]]</f>
        <v>2402</v>
      </c>
      <c r="G24" s="113">
        <f ca="1">TblMili[[#This Row],[Networth (2)]]</f>
        <v>6100</v>
      </c>
      <c r="H24" s="113">
        <f ca="1">OFFSET(TblProd[[#This Row],[Platinum]],-1,0)+OFFSET(TblProd[[#This Row],[Plat/hr]],-1,0) - TblProd[[#This Row],[Expenses Platinum]] + IF(TblProd[[#This Row],[Plat Bonus]],TblPop[[#This Row],[Peasants]]*4) + SUM(TblConstr[[#This Row],[Dest Hom]:[Dest Doc]])*TblConstr[[#This Row],[CPA Platinum -DB]]*tech_3_3_2*TblTech[[#This Row],[3-3]]</f>
        <v>109834</v>
      </c>
      <c r="I24" s="113">
        <f ca="1">OFFSET(TblProd[[#This Row],[Food]],-1,0)+OFFSET(TblProd[[#This Row],[Food/hr]],-1,0)+ROUNDUP((TblConstr[[#This Row],[Farms]]*80+TblConstr[[#This Row],[Docks]]*35)*(1+OFFSET(TblProd[[#This Row],[Bonus Food/hr]],-1,0)),0)</f>
        <v>49848</v>
      </c>
      <c r="J24" s="113">
        <f ca="1">OFFSET(TblProd[[#This Row],[Lumber]],-1,0)+OFFSET(TblProd[[#This Row],[Lumber/hr]],-1,0) - TblProd[[#This Row],[Expenses Lumber]] + SUM(TblConstr[[#This Row],[Dest Hom]:[Dest Doc]])*TblConstr[[#This Row],[CPA Lumber -DB]]*tech_3_3_2*TblTech[[#This Row],[3-3]]</f>
        <v>22135</v>
      </c>
      <c r="K24" s="113">
        <f ca="1">OFFSET(TblProd[[#This Row],[Mana]],-1,0)+OFFSET(TblProd[[#This Row],[Mana/hr]],-1,0)- TblProd[[#This Row],[Expenses Mana]]</f>
        <v>2011</v>
      </c>
      <c r="L24" s="113">
        <f ca="1">OFFSET(TblProd[[#This Row],[Ore]],-1,0)+OFFSET(TblProd[[#This Row],[Ore/hr]],-1,0) -TblProd[[#This Row],[Expenses Ore]]</f>
        <v>0</v>
      </c>
      <c r="M24" s="113">
        <f ca="1">OFFSET(TblProd[[#This Row],[Gems]],-1,0)+OFFSET(TblProd[[#This Row],[Gems/hr]],-1,0) - TblProd[[#This Row],[Expenses Gems]]</f>
        <v>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8618</v>
      </c>
      <c r="T24" s="113">
        <f ca="1">ROUND(TblProd[[#This Row],[Raw Food/hr]]*(1+TblProd[[#This Row],[Bonus Food/hr]])-TblProd[[#This Row],[Food decay]]-TblProd[[#This Row],[Food eaten]],0)</f>
        <v>1352</v>
      </c>
      <c r="U24" s="113">
        <f ca="1">ROUND(TblProd[[#This Row],[Raw Lumber/hr]]*(1+TblProd[[#This Row],[Bonus Lumber/hr]])-TblProd[[#This Row],[Lumber rot]],0)</f>
        <v>779</v>
      </c>
      <c r="V24" s="113">
        <f ca="1">ROUND(TblProd[[#This Row],[Raw Mana/hr]]*(1+TblProd[[#This Row],[Bonus Mana/hr]])-TblProd[[#This Row],[Mana drain]],0)</f>
        <v>335</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7835.4000000000005</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375</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0.1</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498.48</v>
      </c>
      <c r="AP24" s="113">
        <f ca="1">(1+race_food_consumption)*TblPop[[#This Row],[Total]]*food_per_person*(1+tech_1_10*TblTech[[#This Row],[1-10]]+tech_7_5*TblTech[[#This Row],[7-5]])</f>
        <v>729.25</v>
      </c>
      <c r="AQ24" s="113">
        <f ca="1">TblProd[[#This Row],[Lumber]]*lumber_rot * (1 + tech_2_1*TblTech[[#This Row],[2-1]] + tech_2_8*TblTech[[#This Row],[2-8]] + tech_5_2*TblTech[[#This Row],[5-2]])</f>
        <v>221.35</v>
      </c>
      <c r="AR24" s="113">
        <f ca="1">TblProd[[#This Row],[Mana]]*mana_drain * (1 + tech_2_1*TblTech[[#This Row],[2-1]] + tech_2_8*TblTech[[#This Row],[2-8]])</f>
        <v>40.22</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44405.583333333285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109834</v>
      </c>
      <c r="BJ24" s="113">
        <f ca="1">TblProd[[#This Row],[Food]]</f>
        <v>49848</v>
      </c>
      <c r="BK24" s="113">
        <f ca="1">TblProd[[#This Row],[Lumber]]</f>
        <v>22135</v>
      </c>
      <c r="BL24" s="113">
        <f ca="1">TblProd[[#This Row],[Mana]]</f>
        <v>2011</v>
      </c>
      <c r="BM24" s="113">
        <f ca="1">TblProd[[#This Row],[Ore]]</f>
        <v>0</v>
      </c>
    </row>
    <row r="25" spans="1:65" x14ac:dyDescent="0.2">
      <c r="A25" s="178">
        <v>22</v>
      </c>
      <c r="B25" s="198">
        <f ca="1">TblImps[[#This Row],[Time]]</f>
        <v>44405.624999999949</v>
      </c>
      <c r="C25" s="199"/>
      <c r="D25" s="200"/>
      <c r="E25" s="113">
        <f ca="1">TblConstr[[#This Row],[Land]]</f>
        <v>250</v>
      </c>
      <c r="F25" s="113">
        <f ca="1">TblPop[[#This Row],[Peasants]]</f>
        <v>2519</v>
      </c>
      <c r="G25" s="113">
        <f ca="1">TblMili[[#This Row],[Networth (2)]]</f>
        <v>6100</v>
      </c>
      <c r="H25" s="113">
        <f ca="1">OFFSET(TblProd[[#This Row],[Platinum]],-1,0)+OFFSET(TblProd[[#This Row],[Plat/hr]],-1,0) - TblProd[[#This Row],[Expenses Platinum]] + IF(TblProd[[#This Row],[Plat Bonus]],TblPop[[#This Row],[Peasants]]*4) + SUM(TblConstr[[#This Row],[Dest Hom]:[Dest Doc]])*TblConstr[[#This Row],[CPA Platinum -DB]]*tech_3_3_2*TblTech[[#This Row],[3-3]]</f>
        <v>118452</v>
      </c>
      <c r="I25" s="113">
        <f ca="1">OFFSET(TblProd[[#This Row],[Food]],-1,0)+OFFSET(TblProd[[#This Row],[Food/hr]],-1,0)+ROUNDUP((TblConstr[[#This Row],[Farms]]*80+TblConstr[[#This Row],[Docks]]*35)*(1+OFFSET(TblProd[[#This Row],[Bonus Food/hr]],-1,0)),0)</f>
        <v>51200</v>
      </c>
      <c r="J25" s="113">
        <f ca="1">OFFSET(TblProd[[#This Row],[Lumber]],-1,0)+OFFSET(TblProd[[#This Row],[Lumber/hr]],-1,0) - TblProd[[#This Row],[Expenses Lumber]] + SUM(TblConstr[[#This Row],[Dest Hom]:[Dest Doc]])*TblConstr[[#This Row],[CPA Lumber -DB]]*tech_3_3_2*TblTech[[#This Row],[3-3]]</f>
        <v>22914</v>
      </c>
      <c r="K25" s="113">
        <f ca="1">OFFSET(TblProd[[#This Row],[Mana]],-1,0)+OFFSET(TblProd[[#This Row],[Mana/hr]],-1,0)- TblProd[[#This Row],[Expenses Mana]]</f>
        <v>2346</v>
      </c>
      <c r="L25" s="113">
        <f ca="1">OFFSET(TblProd[[#This Row],[Ore]],-1,0)+OFFSET(TblProd[[#This Row],[Ore/hr]],-1,0) -TblProd[[#This Row],[Expenses Ore]]</f>
        <v>0</v>
      </c>
      <c r="M25" s="113">
        <f ca="1">OFFSET(TblProd[[#This Row],[Gems]],-1,0)+OFFSET(TblProd[[#This Row],[Gems/hr]],-1,0) - TblProd[[#This Row],[Expenses Gems]]</f>
        <v>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8966</v>
      </c>
      <c r="T25" s="113">
        <f ca="1">ROUND(TblProd[[#This Row],[Raw Food/hr]]*(1+TblProd[[#This Row],[Bonus Food/hr]])-TblProd[[#This Row],[Food decay]]-TblProd[[#This Row],[Food eaten]],0)</f>
        <v>1304</v>
      </c>
      <c r="U25" s="113">
        <f ca="1">ROUND(TblProd[[#This Row],[Raw Lumber/hr]]*(1+TblProd[[#This Row],[Bonus Lumber/hr]])-TblProd[[#This Row],[Lumber rot]],0)</f>
        <v>771</v>
      </c>
      <c r="V25" s="113">
        <f ca="1">ROUND(TblProd[[#This Row],[Raw Mana/hr]]*(1+TblProd[[#This Row],[Bonus Mana/hr]])-TblProd[[#This Row],[Mana drain]],0)</f>
        <v>328</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8151.3</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375</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0.1</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512</v>
      </c>
      <c r="AP25" s="113">
        <f ca="1">(1+race_food_consumption)*TblPop[[#This Row],[Total]]*food_per_person*(1+tech_1_10*TblTech[[#This Row],[1-10]]+tech_7_5*TblTech[[#This Row],[7-5]])</f>
        <v>764.5</v>
      </c>
      <c r="AQ25" s="113">
        <f ca="1">TblProd[[#This Row],[Lumber]]*lumber_rot * (1 + tech_2_1*TblTech[[#This Row],[2-1]] + tech_2_8*TblTech[[#This Row],[2-8]] + tech_5_2*TblTech[[#This Row],[5-2]])</f>
        <v>229.14000000000001</v>
      </c>
      <c r="AR25" s="113">
        <f ca="1">TblProd[[#This Row],[Mana]]*mana_drain * (1 + tech_2_1*TblTech[[#This Row],[2-1]] + tech_2_8*TblTech[[#This Row],[2-8]])</f>
        <v>46.92</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44405.624999999949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118452</v>
      </c>
      <c r="BJ25" s="113">
        <f ca="1">TblProd[[#This Row],[Food]]</f>
        <v>51200</v>
      </c>
      <c r="BK25" s="113">
        <f ca="1">TblProd[[#This Row],[Lumber]]</f>
        <v>22914</v>
      </c>
      <c r="BL25" s="113">
        <f ca="1">TblProd[[#This Row],[Mana]]</f>
        <v>2346</v>
      </c>
      <c r="BM25" s="113">
        <f ca="1">TblProd[[#This Row],[Ore]]</f>
        <v>0</v>
      </c>
    </row>
    <row r="26" spans="1:65" x14ac:dyDescent="0.2">
      <c r="A26" s="178">
        <v>23</v>
      </c>
      <c r="B26" s="198">
        <f ca="1">TblImps[[#This Row],[Time]]</f>
        <v>44405.666666666613</v>
      </c>
      <c r="C26" s="199"/>
      <c r="D26" s="200"/>
      <c r="E26" s="113">
        <f ca="1">TblConstr[[#This Row],[Land]]</f>
        <v>250</v>
      </c>
      <c r="F26" s="113">
        <f ca="1">TblPop[[#This Row],[Peasants]]</f>
        <v>2642</v>
      </c>
      <c r="G26" s="113">
        <f ca="1">TblMili[[#This Row],[Networth (2)]]</f>
        <v>6100</v>
      </c>
      <c r="H26" s="113">
        <f ca="1">OFFSET(TblProd[[#This Row],[Platinum]],-1,0)+OFFSET(TblProd[[#This Row],[Plat/hr]],-1,0) - TblProd[[#This Row],[Expenses Platinum]] + IF(TblProd[[#This Row],[Plat Bonus]],TblPop[[#This Row],[Peasants]]*4) + SUM(TblConstr[[#This Row],[Dest Hom]:[Dest Doc]])*TblConstr[[#This Row],[CPA Platinum -DB]]*tech_3_3_2*TblTech[[#This Row],[3-3]]</f>
        <v>127418</v>
      </c>
      <c r="I26" s="113">
        <f ca="1">OFFSET(TblProd[[#This Row],[Food]],-1,0)+OFFSET(TblProd[[#This Row],[Food/hr]],-1,0)+ROUNDUP((TblConstr[[#This Row],[Farms]]*80+TblConstr[[#This Row],[Docks]]*35)*(1+OFFSET(TblProd[[#This Row],[Bonus Food/hr]],-1,0)),0)</f>
        <v>52504</v>
      </c>
      <c r="J26" s="113">
        <f ca="1">OFFSET(TblProd[[#This Row],[Lumber]],-1,0)+OFFSET(TblProd[[#This Row],[Lumber/hr]],-1,0) - TblProd[[#This Row],[Expenses Lumber]] + SUM(TblConstr[[#This Row],[Dest Hom]:[Dest Doc]])*TblConstr[[#This Row],[CPA Lumber -DB]]*tech_3_3_2*TblTech[[#This Row],[3-3]]</f>
        <v>23685</v>
      </c>
      <c r="K26" s="113">
        <f ca="1">OFFSET(TblProd[[#This Row],[Mana]],-1,0)+OFFSET(TblProd[[#This Row],[Mana/hr]],-1,0)- TblProd[[#This Row],[Expenses Mana]]</f>
        <v>2674</v>
      </c>
      <c r="L26" s="113">
        <f ca="1">OFFSET(TblProd[[#This Row],[Ore]],-1,0)+OFFSET(TblProd[[#This Row],[Ore/hr]],-1,0) -TblProd[[#This Row],[Expenses Ore]]</f>
        <v>0</v>
      </c>
      <c r="M26" s="113">
        <f ca="1">OFFSET(TblProd[[#This Row],[Gems]],-1,0)+OFFSET(TblProd[[#This Row],[Gems/hr]],-1,0) - TblProd[[#This Row],[Expenses Gems]]</f>
        <v>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9331</v>
      </c>
      <c r="T26" s="113">
        <f ca="1">ROUND(TblProd[[#This Row],[Raw Food/hr]]*(1+TblProd[[#This Row],[Bonus Food/hr]])-TblProd[[#This Row],[Food decay]]-TblProd[[#This Row],[Food eaten]],0)</f>
        <v>1253</v>
      </c>
      <c r="U26" s="113">
        <f ca="1">ROUND(TblProd[[#This Row],[Raw Lumber/hr]]*(1+TblProd[[#This Row],[Bonus Lumber/hr]])-TblProd[[#This Row],[Lumber rot]],0)</f>
        <v>763</v>
      </c>
      <c r="V26" s="113">
        <f ca="1">ROUND(TblProd[[#This Row],[Raw Mana/hr]]*(1+TblProd[[#This Row],[Bonus Mana/hr]])-TblProd[[#This Row],[Mana drain]],0)</f>
        <v>322</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8483.4000000000015</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375</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0.1</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525.04</v>
      </c>
      <c r="AP26" s="113">
        <f ca="1">(1+race_food_consumption)*TblPop[[#This Row],[Total]]*food_per_person*(1+tech_1_10*TblTech[[#This Row],[1-10]]+tech_7_5*TblTech[[#This Row],[7-5]])</f>
        <v>801.5</v>
      </c>
      <c r="AQ26" s="113">
        <f ca="1">TblProd[[#This Row],[Lumber]]*lumber_rot * (1 + tech_2_1*TblTech[[#This Row],[2-1]] + tech_2_8*TblTech[[#This Row],[2-8]] + tech_5_2*TblTech[[#This Row],[5-2]])</f>
        <v>236.85</v>
      </c>
      <c r="AR26" s="113">
        <f ca="1">TblProd[[#This Row],[Mana]]*mana_drain * (1 + tech_2_1*TblTech[[#This Row],[2-1]] + tech_2_8*TblTech[[#This Row],[2-8]])</f>
        <v>53.480000000000004</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44405.666666666613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127418</v>
      </c>
      <c r="BJ26" s="113">
        <f ca="1">TblProd[[#This Row],[Food]]</f>
        <v>52504</v>
      </c>
      <c r="BK26" s="113">
        <f ca="1">TblProd[[#This Row],[Lumber]]</f>
        <v>23685</v>
      </c>
      <c r="BL26" s="113">
        <f ca="1">TblProd[[#This Row],[Mana]]</f>
        <v>2674</v>
      </c>
      <c r="BM26" s="113">
        <f ca="1">TblProd[[#This Row],[Ore]]</f>
        <v>0</v>
      </c>
    </row>
    <row r="27" spans="1:65" x14ac:dyDescent="0.2">
      <c r="A27" s="178">
        <v>24</v>
      </c>
      <c r="B27" s="198">
        <f ca="1">TblImps[[#This Row],[Time]]</f>
        <v>44405.708333333278</v>
      </c>
      <c r="C27" s="199">
        <v>1</v>
      </c>
      <c r="D27" s="200"/>
      <c r="E27" s="113">
        <f ca="1">TblConstr[[#This Row],[Land]]</f>
        <v>270</v>
      </c>
      <c r="F27" s="113">
        <f ca="1">TblPop[[#This Row],[Peasants]]</f>
        <v>2771</v>
      </c>
      <c r="G27" s="113">
        <f ca="1">TblMili[[#This Row],[Networth (2)]]</f>
        <v>6500</v>
      </c>
      <c r="H27" s="113">
        <f ca="1">OFFSET(TblProd[[#This Row],[Platinum]],-1,0)+OFFSET(TblProd[[#This Row],[Plat/hr]],-1,0) - TblProd[[#This Row],[Expenses Platinum]] + IF(TblProd[[#This Row],[Plat Bonus]],TblPop[[#This Row],[Peasants]]*4) + SUM(TblConstr[[#This Row],[Dest Hom]:[Dest Doc]])*TblConstr[[#This Row],[CPA Platinum -DB]]*tech_3_3_2*TblTech[[#This Row],[3-3]]</f>
        <v>26283</v>
      </c>
      <c r="I27" s="113">
        <f ca="1">OFFSET(TblProd[[#This Row],[Food]],-1,0)+OFFSET(TblProd[[#This Row],[Food/hr]],-1,0)+ROUNDUP((TblConstr[[#This Row],[Farms]]*80+TblConstr[[#This Row],[Docks]]*35)*(1+OFFSET(TblProd[[#This Row],[Bonus Food/hr]],-1,0)),0)</f>
        <v>53757</v>
      </c>
      <c r="J27" s="113">
        <f ca="1">OFFSET(TblProd[[#This Row],[Lumber]],-1,0)+OFFSET(TblProd[[#This Row],[Lumber/hr]],-1,0) - TblProd[[#This Row],[Expenses Lumber]] + SUM(TblConstr[[#This Row],[Dest Hom]:[Dest Doc]])*TblConstr[[#This Row],[CPA Lumber -DB]]*tech_3_3_2*TblTech[[#This Row],[3-3]]</f>
        <v>23748</v>
      </c>
      <c r="K27" s="113">
        <f ca="1">OFFSET(TblProd[[#This Row],[Mana]],-1,0)+OFFSET(TblProd[[#This Row],[Mana/hr]],-1,0)- TblProd[[#This Row],[Expenses Mana]]</f>
        <v>2996</v>
      </c>
      <c r="L27" s="113">
        <f ca="1">OFFSET(TblProd[[#This Row],[Ore]],-1,0)+OFFSET(TblProd[[#This Row],[Ore/hr]],-1,0) -TblProd[[#This Row],[Expenses Ore]]</f>
        <v>0</v>
      </c>
      <c r="M27" s="113">
        <f ca="1">OFFSET(TblProd[[#This Row],[Gems]],-1,0)+OFFSET(TblProd[[#This Row],[Gems/hr]],-1,0) - TblProd[[#This Row],[Expenses Gems]]</f>
        <v>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750</v>
      </c>
      <c r="Q27" s="113">
        <v>10000</v>
      </c>
      <c r="R27" s="184"/>
      <c r="S27" s="113">
        <f ca="1">ROUNDDOWN(TblProd[[#This Row],[Raw Plat/hr]]*(1+TblProd[[#This Row],[Bonus Plat/hr]]),0)</f>
        <v>11694</v>
      </c>
      <c r="T27" s="113">
        <f ca="1">ROUND(TblProd[[#This Row],[Raw Food/hr]]*(1+TblProd[[#This Row],[Bonus Food/hr]])-TblProd[[#This Row],[Food decay]]-TblProd[[#This Row],[Food eaten]],0)</f>
        <v>1337</v>
      </c>
      <c r="U27" s="113">
        <f ca="1">ROUND(TblProd[[#This Row],[Raw Lumber/hr]]*(1+TblProd[[#This Row],[Bonus Lumber/hr]])-TblProd[[#This Row],[Lumber rot]],0)</f>
        <v>763</v>
      </c>
      <c r="V27" s="113">
        <f ca="1">ROUND(TblProd[[#This Row],[Raw Mana/hr]]*(1+TblProd[[#This Row],[Bonus Mana/hr]])-TblProd[[#This Row],[Mana drain]],0)</f>
        <v>315</v>
      </c>
      <c r="W27" s="113">
        <f ca="1">ROUNDDOWN(TblProd[[#This Row],[Raw Ore/hr]]*(1+TblProd[[#This Row],[Bonux Ore/hr]]),0)</f>
        <v>1200</v>
      </c>
      <c r="X27" s="113">
        <f ca="1">ROUNDDOWN(TblProd[[#This Row],[Raw Gems/hr]]*(1+TblProd[[#This Row],[Bonus Gems/hr]]),0)</f>
        <v>0</v>
      </c>
      <c r="Y27" s="201">
        <f ca="1">OFFSET(TblConstr[[#This Row],[Tot Doc]],1,0)*dock_boats_hr * (1 + tech_4_1*TblTech[[#This Row],[4-1]])</f>
        <v>1</v>
      </c>
      <c r="Z27" s="200"/>
      <c r="AA27" s="113">
        <f ca="1">TblPop[[#This Row],[Peasants]]*tax*TblPop[[#This Row],[Employment]] + (Construction!AZ28+Construction!BX28)*(alch_plat+(Magic!AL27&gt;0)*alchemist_flame_bonus)</f>
        <v>10631.7</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375</v>
      </c>
      <c r="AE27" s="113">
        <f ca="1">OFFSET(TblConstr[[#This Row],[Tot OM]],1,0)*om_ore+IF(race="Dwarf",ROUNDDOWN(TblMili[[#This Row],[Unit 2]]/2,0),)</f>
        <v>1200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0.1</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537.57000000000005</v>
      </c>
      <c r="AP27" s="113">
        <f ca="1">(1+race_food_consumption)*TblPop[[#This Row],[Total]]*food_per_person*(1+tech_1_10*TblTech[[#This Row],[1-10]]+tech_7_5*TblTech[[#This Row],[7-5]])</f>
        <v>705.25</v>
      </c>
      <c r="AQ27" s="113">
        <f ca="1">TblProd[[#This Row],[Lumber]]*lumber_rot * (1 + tech_2_1*TblTech[[#This Row],[2-1]] + tech_2_8*TblTech[[#This Row],[2-8]] + tech_5_2*TblTech[[#This Row],[5-2]])</f>
        <v>237.48000000000002</v>
      </c>
      <c r="AR27" s="113">
        <f ca="1">TblProd[[#This Row],[Mana]]*mana_drain * (1 + tech_2_1*TblTech[[#This Row],[2-1]] + tech_2_8*TblTech[[#This Row],[2-8]])</f>
        <v>59.92</v>
      </c>
      <c r="AS27" s="200"/>
      <c r="AT27" s="113">
        <f ca="1">TblExplore[[#This Row],[Platinum (2)]]+TblConstr[[#This Row],[Total Plat Cost]]+TblMili[[#This Row],[Plat Cost]]+TblRezone[[#This Row],[Platinum cost]]+TblImps[[#This Row],[P1]]-TblProd[[#This Row],[Bank Plat]]</f>
        <v>121550</v>
      </c>
      <c r="AU27" s="113">
        <f ca="1">TblConstr[[#This Row],[Total Lum Cost]]+TblImps[[#This Row],[L1]]-TblProd[[#This Row],[Bank Lumber]] + Military!$CH$25*TblMili[[#This Row],[Sec. rec. Cost]]</f>
        <v>700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44405.708333333278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26283</v>
      </c>
      <c r="BJ27" s="113">
        <f ca="1">TblProd[[#This Row],[Food]]</f>
        <v>53757</v>
      </c>
      <c r="BK27" s="113">
        <f ca="1">TblProd[[#This Row],[Lumber]]</f>
        <v>23748</v>
      </c>
      <c r="BL27" s="113">
        <f ca="1">TblProd[[#This Row],[Mana]]</f>
        <v>2996</v>
      </c>
      <c r="BM27" s="113">
        <f ca="1">TblProd[[#This Row],[Ore]]</f>
        <v>0</v>
      </c>
    </row>
    <row r="28" spans="1:65" x14ac:dyDescent="0.2">
      <c r="A28" s="178">
        <v>25</v>
      </c>
      <c r="B28" s="198">
        <f ca="1">TblImps[[#This Row],[Time]]</f>
        <v>44405.749999999942</v>
      </c>
      <c r="C28" s="199"/>
      <c r="D28" s="200"/>
      <c r="E28" s="113">
        <f ca="1">TblConstr[[#This Row],[Land]]</f>
        <v>299</v>
      </c>
      <c r="F28" s="113">
        <f ca="1">TblPop[[#This Row],[Peasants]]</f>
        <v>2899</v>
      </c>
      <c r="G28" s="113">
        <f ca="1">TblMili[[#This Row],[Networth (2)]]</f>
        <v>7480</v>
      </c>
      <c r="H28" s="113">
        <f ca="1">OFFSET(TblProd[[#This Row],[Platinum]],-1,0)+OFFSET(TblProd[[#This Row],[Plat/hr]],-1,0) - TblProd[[#This Row],[Expenses Platinum]] + IF(TblProd[[#This Row],[Plat Bonus]],TblPop[[#This Row],[Peasants]]*4) + SUM(TblConstr[[#This Row],[Dest Hom]:[Dest Doc]])*TblConstr[[#This Row],[CPA Platinum -DB]]*tech_3_3_2*TblTech[[#This Row],[3-3]]</f>
        <v>28117</v>
      </c>
      <c r="I28" s="113">
        <f ca="1">OFFSET(TblProd[[#This Row],[Food]],-1,0)+OFFSET(TblProd[[#This Row],[Food/hr]],-1,0)+ROUNDUP((TblConstr[[#This Row],[Farms]]*80+TblConstr[[#This Row],[Docks]]*35)*(1+OFFSET(TblProd[[#This Row],[Bonus Food/hr]],-1,0)),0)</f>
        <v>55847</v>
      </c>
      <c r="J28" s="113">
        <f ca="1">OFFSET(TblProd[[#This Row],[Lumber]],-1,0)+OFFSET(TblProd[[#This Row],[Lumber/hr]],-1,0) - TblProd[[#This Row],[Expenses Lumber]] + SUM(TblConstr[[#This Row],[Dest Hom]:[Dest Doc]])*TblConstr[[#This Row],[CPA Lumber -DB]]*tech_3_3_2*TblTech[[#This Row],[3-3]]</f>
        <v>23496</v>
      </c>
      <c r="K28" s="113">
        <f ca="1">OFFSET(TblProd[[#This Row],[Mana]],-1,0)+OFFSET(TblProd[[#This Row],[Mana/hr]],-1,0)- TblProd[[#This Row],[Expenses Mana]]</f>
        <v>3311</v>
      </c>
      <c r="L28" s="113">
        <f ca="1">OFFSET(TblProd[[#This Row],[Ore]],-1,0)+OFFSET(TblProd[[#This Row],[Ore/hr]],-1,0) -TblProd[[#This Row],[Expenses Ore]]</f>
        <v>1200</v>
      </c>
      <c r="M28" s="113">
        <f ca="1">OFFSET(TblProd[[#This Row],[Gems]],-1,0)+OFFSET(TblProd[[#This Row],[Gems/hr]],-1,0) - TblProd[[#This Row],[Expenses Gems]]</f>
        <v>0</v>
      </c>
      <c r="N28" s="113">
        <f ca="1">OFFSET(TblProd[[#This Row],[Boats]],-1,0)+OFFSET(TblProd[[#This Row],[Boats/hr]],-1,0)</f>
        <v>1</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750</v>
      </c>
      <c r="Q28" s="113">
        <v>10000</v>
      </c>
      <c r="R28" s="184"/>
      <c r="S28" s="113">
        <f ca="1">ROUNDDOWN(TblProd[[#This Row],[Raw Plat/hr]]*(1+TblProd[[#This Row],[Bonus Plat/hr]]),0)</f>
        <v>12075</v>
      </c>
      <c r="T28" s="113">
        <f ca="1">ROUND(TblProd[[#This Row],[Raw Food/hr]]*(1+TblProd[[#This Row],[Bonus Food/hr]])-TblProd[[#This Row],[Food decay]]-TblProd[[#This Row],[Food eaten]],0)</f>
        <v>2030</v>
      </c>
      <c r="U28" s="113">
        <f ca="1">ROUND(TblProd[[#This Row],[Raw Lumber/hr]]*(1+TblProd[[#This Row],[Bonus Lumber/hr]])-TblProd[[#This Row],[Lumber rot]],0)</f>
        <v>765</v>
      </c>
      <c r="V28" s="113">
        <f ca="1">ROUND(TblProd[[#This Row],[Raw Mana/hr]]*(1+TblProd[[#This Row],[Bonus Mana/hr]])-TblProd[[#This Row],[Mana drain]],0)</f>
        <v>309</v>
      </c>
      <c r="W28" s="113">
        <f ca="1">ROUNDDOWN(TblProd[[#This Row],[Raw Ore/hr]]*(1+TblProd[[#This Row],[Bonux Ore/hr]]),0)</f>
        <v>1200</v>
      </c>
      <c r="X28" s="113">
        <f ca="1">ROUNDDOWN(TblProd[[#This Row],[Raw Gems/hr]]*(1+TblProd[[#This Row],[Bonus Gems/hr]]),0)</f>
        <v>0</v>
      </c>
      <c r="Y28" s="201">
        <f ca="1">OFFSET(TblConstr[[#This Row],[Tot Doc]],1,0)*dock_boats_hr * (1 + tech_4_1*TblTech[[#This Row],[4-1]])</f>
        <v>1</v>
      </c>
      <c r="Z28" s="200"/>
      <c r="AA28" s="113">
        <f ca="1">TblPop[[#This Row],[Peasants]]*tax*TblPop[[#This Row],[Employment]] + (Construction!AZ29+Construction!BX29)*(alch_plat+(Magic!AL28&gt;0)*alchemist_flame_bonus)</f>
        <v>10977.3</v>
      </c>
      <c r="AB28" s="113">
        <f ca="1">TblConstr[[#This Row],[Tot Farm]]*farm_food + TblConstr[[#This Row],[Tot Doc]]*dock_food</f>
        <v>3100</v>
      </c>
      <c r="AC28" s="113">
        <f ca="1">TblConstr[[#This Row],[Tot Ly]]*ly_lumber + TblConstr[[#This Row],[Tot Hav]]*fh_lumber</f>
        <v>1000</v>
      </c>
      <c r="AD28" s="113">
        <f ca="1">OFFSET(TblConstr[[#This Row],[Tot Tow]],1,0)*(tower_mana + tech_4_5*TblTech[[#This Row],[4-5]])</f>
        <v>375</v>
      </c>
      <c r="AE28" s="113">
        <f ca="1">OFFSET(TblConstr[[#This Row],[Tot OM]],1,0)*om_ore+IF(race="Dwarf",ROUNDDOWN(TblMili[[#This Row],[Unit 2]]/2,0),)</f>
        <v>1200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0.1</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558.47</v>
      </c>
      <c r="AP28" s="113">
        <f ca="1">(1+race_food_consumption)*TblPop[[#This Row],[Total]]*food_per_person*(1+tech_1_10*TblTech[[#This Row],[1-10]]+tech_7_5*TblTech[[#This Row],[7-5]])</f>
        <v>744.25</v>
      </c>
      <c r="AQ28" s="113">
        <f ca="1">TblProd[[#This Row],[Lumber]]*lumber_rot * (1 + tech_2_1*TblTech[[#This Row],[2-1]] + tech_2_8*TblTech[[#This Row],[2-8]] + tech_5_2*TblTech[[#This Row],[5-2]])</f>
        <v>234.96</v>
      </c>
      <c r="AR28" s="113">
        <f ca="1">TblProd[[#This Row],[Mana]]*mana_drain * (1 + tech_2_1*TblTech[[#This Row],[2-1]] + tech_2_8*TblTech[[#This Row],[2-8]])</f>
        <v>66.22</v>
      </c>
      <c r="AS28" s="200"/>
      <c r="AT28" s="113">
        <f ca="1">TblExplore[[#This Row],[Platinum (2)]]+TblConstr[[#This Row],[Total Plat Cost]]+TblMili[[#This Row],[Plat Cost]]+TblRezone[[#This Row],[Platinum cost]]+TblImps[[#This Row],[P1]]-TblProd[[#This Row],[Bank Plat]]</f>
        <v>9860</v>
      </c>
      <c r="AU28" s="113">
        <f ca="1">TblConstr[[#This Row],[Total Lum Cost]]+TblImps[[#This Row],[L1]]-TblProd[[#This Row],[Bank Lumber]] + Military!$CH$25*TblMili[[#This Row],[Sec. rec. Cost]]</f>
        <v>1015</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44405.749999999942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28117</v>
      </c>
      <c r="BJ28" s="113">
        <f ca="1">TblProd[[#This Row],[Food]]</f>
        <v>55847</v>
      </c>
      <c r="BK28" s="113">
        <f ca="1">TblProd[[#This Row],[Lumber]]</f>
        <v>23496</v>
      </c>
      <c r="BL28" s="113">
        <f ca="1">TblProd[[#This Row],[Mana]]</f>
        <v>3311</v>
      </c>
      <c r="BM28" s="113">
        <f ca="1">TblProd[[#This Row],[Ore]]</f>
        <v>1200</v>
      </c>
    </row>
    <row r="29" spans="1:65" x14ac:dyDescent="0.2">
      <c r="A29" s="178">
        <v>26</v>
      </c>
      <c r="B29" s="198">
        <f ca="1">TblImps[[#This Row],[Time]]</f>
        <v>44405.791666666606</v>
      </c>
      <c r="C29" s="199"/>
      <c r="D29" s="200"/>
      <c r="E29" s="113">
        <f ca="1">TblConstr[[#This Row],[Land]]</f>
        <v>299</v>
      </c>
      <c r="F29" s="113">
        <f ca="1">TblPop[[#This Row],[Peasants]]</f>
        <v>3034</v>
      </c>
      <c r="G29" s="113">
        <f ca="1">TblMili[[#This Row],[Networth (2)]]</f>
        <v>7480</v>
      </c>
      <c r="H29" s="113">
        <f ca="1">OFFSET(TblProd[[#This Row],[Platinum]],-1,0)+OFFSET(TblProd[[#This Row],[Plat/hr]],-1,0) - TblProd[[#This Row],[Expenses Platinum]] + IF(TblProd[[#This Row],[Plat Bonus]],TblPop[[#This Row],[Peasants]]*4) + SUM(TblConstr[[#This Row],[Dest Hom]:[Dest Doc]])*TblConstr[[#This Row],[CPA Platinum -DB]]*tech_3_3_2*TblTech[[#This Row],[3-3]]</f>
        <v>40192</v>
      </c>
      <c r="I29" s="113">
        <f ca="1">OFFSET(TblProd[[#This Row],[Food]],-1,0)+OFFSET(TblProd[[#This Row],[Food/hr]],-1,0)+ROUNDUP((TblConstr[[#This Row],[Farms]]*80+TblConstr[[#This Row],[Docks]]*35)*(1+OFFSET(TblProd[[#This Row],[Bonus Food/hr]],-1,0)),0)</f>
        <v>57877</v>
      </c>
      <c r="J29" s="113">
        <f ca="1">OFFSET(TblProd[[#This Row],[Lumber]],-1,0)+OFFSET(TblProd[[#This Row],[Lumber/hr]],-1,0) - TblProd[[#This Row],[Expenses Lumber]] + SUM(TblConstr[[#This Row],[Dest Hom]:[Dest Doc]])*TblConstr[[#This Row],[CPA Lumber -DB]]*tech_3_3_2*TblTech[[#This Row],[3-3]]</f>
        <v>24261</v>
      </c>
      <c r="K29" s="113">
        <f ca="1">OFFSET(TblProd[[#This Row],[Mana]],-1,0)+OFFSET(TblProd[[#This Row],[Mana/hr]],-1,0)- TblProd[[#This Row],[Expenses Mana]]</f>
        <v>2872.5</v>
      </c>
      <c r="L29" s="113">
        <f ca="1">OFFSET(TblProd[[#This Row],[Ore]],-1,0)+OFFSET(TblProd[[#This Row],[Ore/hr]],-1,0) -TblProd[[#This Row],[Expenses Ore]]</f>
        <v>2400</v>
      </c>
      <c r="M29" s="113">
        <f ca="1">OFFSET(TblProd[[#This Row],[Gems]],-1,0)+OFFSET(TblProd[[#This Row],[Gems/hr]],-1,0) - TblProd[[#This Row],[Expenses Gems]]</f>
        <v>0</v>
      </c>
      <c r="N29" s="113">
        <f ca="1">OFFSET(TblProd[[#This Row],[Boats]],-1,0)+OFFSET(TblProd[[#This Row],[Boats/hr]],-1,0)</f>
        <v>2</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750</v>
      </c>
      <c r="Q29" s="113">
        <v>10000</v>
      </c>
      <c r="R29" s="184"/>
      <c r="S29" s="113">
        <f ca="1">ROUNDDOWN(TblProd[[#This Row],[Raw Plat/hr]]*(1+TblProd[[#This Row],[Bonus Plat/hr]]),0)</f>
        <v>12475</v>
      </c>
      <c r="T29" s="113">
        <f ca="1">ROUND(TblProd[[#This Row],[Raw Food/hr]]*(1+TblProd[[#This Row],[Bonus Food/hr]])-TblProd[[#This Row],[Food decay]]-TblProd[[#This Row],[Food eaten]],0)</f>
        <v>1968</v>
      </c>
      <c r="U29" s="113">
        <f ca="1">ROUND(TblProd[[#This Row],[Raw Lumber/hr]]*(1+TblProd[[#This Row],[Bonus Lumber/hr]])-TblProd[[#This Row],[Lumber rot]],0)</f>
        <v>757</v>
      </c>
      <c r="V29" s="113">
        <f ca="1">ROUND(TblProd[[#This Row],[Raw Mana/hr]]*(1+TblProd[[#This Row],[Bonus Mana/hr]])-TblProd[[#This Row],[Mana drain]],0)</f>
        <v>318</v>
      </c>
      <c r="W29" s="113">
        <f ca="1">ROUNDDOWN(TblProd[[#This Row],[Raw Ore/hr]]*(1+TblProd[[#This Row],[Bonux Ore/hr]]),0)</f>
        <v>1200</v>
      </c>
      <c r="X29" s="113">
        <f ca="1">ROUNDDOWN(TblProd[[#This Row],[Raw Gems/hr]]*(1+TblProd[[#This Row],[Bonus Gems/hr]]),0)</f>
        <v>0</v>
      </c>
      <c r="Y29" s="201">
        <f ca="1">OFFSET(TblConstr[[#This Row],[Tot Doc]],1,0)*dock_boats_hr * (1 + tech_4_1*TblTech[[#This Row],[4-1]])</f>
        <v>1</v>
      </c>
      <c r="Z29" s="200"/>
      <c r="AA29" s="113">
        <f ca="1">TblPop[[#This Row],[Peasants]]*tax*TblPop[[#This Row],[Employment]] + (Construction!AZ30+Construction!BX30)*(alch_plat+(Magic!AL29&gt;0)*alchemist_flame_bonus)</f>
        <v>11341.8</v>
      </c>
      <c r="AB29" s="113">
        <f ca="1">TblConstr[[#This Row],[Tot Farm]]*farm_food + TblConstr[[#This Row],[Tot Doc]]*dock_food</f>
        <v>3100</v>
      </c>
      <c r="AC29" s="113">
        <f ca="1">TblConstr[[#This Row],[Tot Ly]]*ly_lumber + TblConstr[[#This Row],[Tot Hav]]*fh_lumber</f>
        <v>1000</v>
      </c>
      <c r="AD29" s="113">
        <f ca="1">OFFSET(TblConstr[[#This Row],[Tot Tow]],1,0)*(tower_mana + tech_4_5*TblTech[[#This Row],[4-5]])</f>
        <v>375</v>
      </c>
      <c r="AE29" s="113">
        <f ca="1">OFFSET(TblConstr[[#This Row],[Tot OM]],1,0)*om_ore+IF(race="Dwarf",ROUNDDOWN(TblMili[[#This Row],[Unit 2]]/2,0),)</f>
        <v>1200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0.1</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578.77</v>
      </c>
      <c r="AP29" s="113">
        <f ca="1">(1+race_food_consumption)*TblPop[[#This Row],[Total]]*food_per_person*(1+tech_1_10*TblTech[[#This Row],[1-10]]+tech_7_5*TblTech[[#This Row],[7-5]])</f>
        <v>785.25</v>
      </c>
      <c r="AQ29" s="113">
        <f ca="1">TblProd[[#This Row],[Lumber]]*lumber_rot * (1 + tech_2_1*TblTech[[#This Row],[2-1]] + tech_2_8*TblTech[[#This Row],[2-8]] + tech_5_2*TblTech[[#This Row],[5-2]])</f>
        <v>242.61</v>
      </c>
      <c r="AR29" s="113">
        <f ca="1">TblProd[[#This Row],[Mana]]*mana_drain * (1 + tech_2_1*TblTech[[#This Row],[2-1]] + tech_2_8*TblTech[[#This Row],[2-8]])</f>
        <v>57.45</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747.5</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44405.791666666606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40192</v>
      </c>
      <c r="BJ29" s="113">
        <f ca="1">TblProd[[#This Row],[Food]]</f>
        <v>57877</v>
      </c>
      <c r="BK29" s="113">
        <f ca="1">TblProd[[#This Row],[Lumber]]</f>
        <v>24261</v>
      </c>
      <c r="BL29" s="113">
        <f ca="1">TblProd[[#This Row],[Mana]]</f>
        <v>2872.5</v>
      </c>
      <c r="BM29" s="113">
        <f ca="1">TblProd[[#This Row],[Ore]]</f>
        <v>2400</v>
      </c>
    </row>
    <row r="30" spans="1:65" x14ac:dyDescent="0.2">
      <c r="A30" s="178">
        <v>27</v>
      </c>
      <c r="B30" s="198">
        <f ca="1">TblImps[[#This Row],[Time]]</f>
        <v>44405.83333333327</v>
      </c>
      <c r="C30" s="199"/>
      <c r="D30" s="200"/>
      <c r="E30" s="113">
        <f ca="1">TblConstr[[#This Row],[Land]]</f>
        <v>299</v>
      </c>
      <c r="F30" s="113">
        <f ca="1">TblPop[[#This Row],[Peasants]]</f>
        <v>3175</v>
      </c>
      <c r="G30" s="113">
        <f ca="1">TblMili[[#This Row],[Networth (2)]]</f>
        <v>7480</v>
      </c>
      <c r="H30" s="113">
        <f ca="1">OFFSET(TblProd[[#This Row],[Platinum]],-1,0)+OFFSET(TblProd[[#This Row],[Plat/hr]],-1,0) - TblProd[[#This Row],[Expenses Platinum]] + IF(TblProd[[#This Row],[Plat Bonus]],TblPop[[#This Row],[Peasants]]*4) + SUM(TblConstr[[#This Row],[Dest Hom]:[Dest Doc]])*TblConstr[[#This Row],[CPA Platinum -DB]]*tech_3_3_2*TblTech[[#This Row],[3-3]]</f>
        <v>52667</v>
      </c>
      <c r="I30" s="113">
        <f ca="1">OFFSET(TblProd[[#This Row],[Food]],-1,0)+OFFSET(TblProd[[#This Row],[Food/hr]],-1,0)+ROUNDUP((TblConstr[[#This Row],[Farms]]*80+TblConstr[[#This Row],[Docks]]*35)*(1+OFFSET(TblProd[[#This Row],[Bonus Food/hr]],-1,0)),0)</f>
        <v>59845</v>
      </c>
      <c r="J30" s="113">
        <f ca="1">OFFSET(TblProd[[#This Row],[Lumber]],-1,0)+OFFSET(TblProd[[#This Row],[Lumber/hr]],-1,0) - TblProd[[#This Row],[Expenses Lumber]] + SUM(TblConstr[[#This Row],[Dest Hom]:[Dest Doc]])*TblConstr[[#This Row],[CPA Lumber -DB]]*tech_3_3_2*TblTech[[#This Row],[3-3]]</f>
        <v>25018</v>
      </c>
      <c r="K30" s="113">
        <f ca="1">OFFSET(TblProd[[#This Row],[Mana]],-1,0)+OFFSET(TblProd[[#This Row],[Mana/hr]],-1,0)- TblProd[[#This Row],[Expenses Mana]]</f>
        <v>3190.5</v>
      </c>
      <c r="L30" s="113">
        <f ca="1">OFFSET(TblProd[[#This Row],[Ore]],-1,0)+OFFSET(TblProd[[#This Row],[Ore/hr]],-1,0) -TblProd[[#This Row],[Expenses Ore]]</f>
        <v>3600</v>
      </c>
      <c r="M30" s="113">
        <f ca="1">OFFSET(TblProd[[#This Row],[Gems]],-1,0)+OFFSET(TblProd[[#This Row],[Gems/hr]],-1,0) - TblProd[[#This Row],[Expenses Gems]]</f>
        <v>0</v>
      </c>
      <c r="N30" s="113">
        <f ca="1">OFFSET(TblProd[[#This Row],[Boats]],-1,0)+OFFSET(TblProd[[#This Row],[Boats/hr]],-1,0)</f>
        <v>3</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750</v>
      </c>
      <c r="Q30" s="113">
        <v>10000</v>
      </c>
      <c r="R30" s="184"/>
      <c r="S30" s="113">
        <f ca="1">ROUNDDOWN(TblProd[[#This Row],[Raw Plat/hr]]*(1+TblProd[[#This Row],[Bonus Plat/hr]]),0)</f>
        <v>12894</v>
      </c>
      <c r="T30" s="113">
        <f ca="1">ROUND(TblProd[[#This Row],[Raw Food/hr]]*(1+TblProd[[#This Row],[Bonus Food/hr]])-TblProd[[#This Row],[Food decay]]-TblProd[[#This Row],[Food eaten]],0)</f>
        <v>1906</v>
      </c>
      <c r="U30" s="113">
        <f ca="1">ROUND(TblProd[[#This Row],[Raw Lumber/hr]]*(1+TblProd[[#This Row],[Bonus Lumber/hr]])-TblProd[[#This Row],[Lumber rot]],0)</f>
        <v>750</v>
      </c>
      <c r="V30" s="113">
        <f ca="1">ROUND(TblProd[[#This Row],[Raw Mana/hr]]*(1+TblProd[[#This Row],[Bonus Mana/hr]])-TblProd[[#This Row],[Mana drain]],0)</f>
        <v>311</v>
      </c>
      <c r="W30" s="113">
        <f ca="1">ROUNDDOWN(TblProd[[#This Row],[Raw Ore/hr]]*(1+TblProd[[#This Row],[Bonux Ore/hr]]),0)</f>
        <v>1200</v>
      </c>
      <c r="X30" s="113">
        <f ca="1">ROUNDDOWN(TblProd[[#This Row],[Raw Gems/hr]]*(1+TblProd[[#This Row],[Bonus Gems/hr]]),0)</f>
        <v>0</v>
      </c>
      <c r="Y30" s="201">
        <f ca="1">OFFSET(TblConstr[[#This Row],[Tot Doc]],1,0)*dock_boats_hr * (1 + tech_4_1*TblTech[[#This Row],[4-1]])</f>
        <v>1</v>
      </c>
      <c r="Z30" s="200"/>
      <c r="AA30" s="113">
        <f ca="1">TblPop[[#This Row],[Peasants]]*tax*TblPop[[#This Row],[Employment]] + (Construction!AZ31+Construction!BX31)*(alch_plat+(Magic!AL30&gt;0)*alchemist_flame_bonus)</f>
        <v>11722.5</v>
      </c>
      <c r="AB30" s="113">
        <f ca="1">TblConstr[[#This Row],[Tot Farm]]*farm_food + TblConstr[[#This Row],[Tot Doc]]*dock_food</f>
        <v>3100</v>
      </c>
      <c r="AC30" s="113">
        <f ca="1">TblConstr[[#This Row],[Tot Ly]]*ly_lumber + TblConstr[[#This Row],[Tot Hav]]*fh_lumber</f>
        <v>1000</v>
      </c>
      <c r="AD30" s="113">
        <f ca="1">OFFSET(TblConstr[[#This Row],[Tot Tow]],1,0)*(tower_mana + tech_4_5*TblTech[[#This Row],[4-5]])</f>
        <v>375</v>
      </c>
      <c r="AE30" s="113">
        <f ca="1">OFFSET(TblConstr[[#This Row],[Tot OM]],1,0)*om_ore+IF(race="Dwarf",ROUNDDOWN(TblMili[[#This Row],[Unit 2]]/2,0),)</f>
        <v>1200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0.1</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598.45000000000005</v>
      </c>
      <c r="AP30" s="113">
        <f ca="1">(1+race_food_consumption)*TblPop[[#This Row],[Total]]*food_per_person*(1+tech_1_10*TblTech[[#This Row],[1-10]]+tech_7_5*TblTech[[#This Row],[7-5]])</f>
        <v>828</v>
      </c>
      <c r="AQ30" s="113">
        <f ca="1">TblProd[[#This Row],[Lumber]]*lumber_rot * (1 + tech_2_1*TblTech[[#This Row],[2-1]] + tech_2_8*TblTech[[#This Row],[2-8]] + tech_5_2*TblTech[[#This Row],[5-2]])</f>
        <v>250.18</v>
      </c>
      <c r="AR30" s="113">
        <f ca="1">TblProd[[#This Row],[Mana]]*mana_drain * (1 + tech_2_1*TblTech[[#This Row],[2-1]] + tech_2_8*TblTech[[#This Row],[2-8]])</f>
        <v>63.81</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44405.83333333327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52667</v>
      </c>
      <c r="BJ30" s="113">
        <f ca="1">TblProd[[#This Row],[Food]]</f>
        <v>59845</v>
      </c>
      <c r="BK30" s="113">
        <f ca="1">TblProd[[#This Row],[Lumber]]</f>
        <v>25018</v>
      </c>
      <c r="BL30" s="113">
        <f ca="1">TblProd[[#This Row],[Mana]]</f>
        <v>3190.5</v>
      </c>
      <c r="BM30" s="113">
        <f ca="1">TblProd[[#This Row],[Ore]]</f>
        <v>3600</v>
      </c>
    </row>
    <row r="31" spans="1:65" x14ac:dyDescent="0.2">
      <c r="A31" s="178">
        <v>28</v>
      </c>
      <c r="B31" s="198">
        <f ca="1">TblImps[[#This Row],[Time]]</f>
        <v>44405.874999999935</v>
      </c>
      <c r="C31" s="199"/>
      <c r="D31" s="200"/>
      <c r="E31" s="113">
        <f ca="1">TblConstr[[#This Row],[Land]]</f>
        <v>299</v>
      </c>
      <c r="F31" s="113">
        <f ca="1">TblPop[[#This Row],[Peasants]]</f>
        <v>3322</v>
      </c>
      <c r="G31" s="113">
        <f ca="1">TblMili[[#This Row],[Networth (2)]]</f>
        <v>7480</v>
      </c>
      <c r="H31" s="113">
        <f ca="1">OFFSET(TblProd[[#This Row],[Platinum]],-1,0)+OFFSET(TblProd[[#This Row],[Plat/hr]],-1,0) - TblProd[[#This Row],[Expenses Platinum]] + IF(TblProd[[#This Row],[Plat Bonus]],TblPop[[#This Row],[Peasants]]*4) + SUM(TblConstr[[#This Row],[Dest Hom]:[Dest Doc]])*TblConstr[[#This Row],[CPA Platinum -DB]]*tech_3_3_2*TblTech[[#This Row],[3-3]]</f>
        <v>65561</v>
      </c>
      <c r="I31" s="113">
        <f ca="1">OFFSET(TblProd[[#This Row],[Food]],-1,0)+OFFSET(TblProd[[#This Row],[Food/hr]],-1,0)+ROUNDUP((TblConstr[[#This Row],[Farms]]*80+TblConstr[[#This Row],[Docks]]*35)*(1+OFFSET(TblProd[[#This Row],[Bonus Food/hr]],-1,0)),0)</f>
        <v>61751</v>
      </c>
      <c r="J31" s="113">
        <f ca="1">OFFSET(TblProd[[#This Row],[Lumber]],-1,0)+OFFSET(TblProd[[#This Row],[Lumber/hr]],-1,0) - TblProd[[#This Row],[Expenses Lumber]] + SUM(TblConstr[[#This Row],[Dest Hom]:[Dest Doc]])*TblConstr[[#This Row],[CPA Lumber -DB]]*tech_3_3_2*TblTech[[#This Row],[3-3]]</f>
        <v>25768</v>
      </c>
      <c r="K31" s="113">
        <f ca="1">OFFSET(TblProd[[#This Row],[Mana]],-1,0)+OFFSET(TblProd[[#This Row],[Mana/hr]],-1,0)- TblProd[[#This Row],[Expenses Mana]]</f>
        <v>2754</v>
      </c>
      <c r="L31" s="113">
        <f ca="1">OFFSET(TblProd[[#This Row],[Ore]],-1,0)+OFFSET(TblProd[[#This Row],[Ore/hr]],-1,0) -TblProd[[#This Row],[Expenses Ore]]</f>
        <v>4800</v>
      </c>
      <c r="M31" s="113">
        <f ca="1">OFFSET(TblProd[[#This Row],[Gems]],-1,0)+OFFSET(TblProd[[#This Row],[Gems/hr]],-1,0) - TblProd[[#This Row],[Expenses Gems]]</f>
        <v>0</v>
      </c>
      <c r="N31" s="113">
        <f ca="1">OFFSET(TblProd[[#This Row],[Boats]],-1,0)+OFFSET(TblProd[[#This Row],[Boats/hr]],-1,0)</f>
        <v>4</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750</v>
      </c>
      <c r="Q31" s="113">
        <v>10000</v>
      </c>
      <c r="R31" s="184"/>
      <c r="S31" s="113">
        <f ca="1">ROUNDDOWN(TblProd[[#This Row],[Raw Plat/hr]]*(1+TblProd[[#This Row],[Bonus Plat/hr]]),0)</f>
        <v>13331</v>
      </c>
      <c r="T31" s="113">
        <f ca="1">ROUND(TblProd[[#This Row],[Raw Food/hr]]*(1+TblProd[[#This Row],[Bonus Food/hr]])-TblProd[[#This Row],[Food decay]]-TblProd[[#This Row],[Food eaten]],0)</f>
        <v>1842</v>
      </c>
      <c r="U31" s="113">
        <f ca="1">ROUND(TblProd[[#This Row],[Raw Lumber/hr]]*(1+TblProd[[#This Row],[Bonus Lumber/hr]])-TblProd[[#This Row],[Lumber rot]],0)</f>
        <v>742</v>
      </c>
      <c r="V31" s="113">
        <f ca="1">ROUND(TblProd[[#This Row],[Raw Mana/hr]]*(1+TblProd[[#This Row],[Bonus Mana/hr]])-TblProd[[#This Row],[Mana drain]],0)</f>
        <v>320</v>
      </c>
      <c r="W31" s="113">
        <f ca="1">ROUNDDOWN(TblProd[[#This Row],[Raw Ore/hr]]*(1+TblProd[[#This Row],[Bonux Ore/hr]]),0)</f>
        <v>1200</v>
      </c>
      <c r="X31" s="113">
        <f ca="1">ROUNDDOWN(TblProd[[#This Row],[Raw Gems/hr]]*(1+TblProd[[#This Row],[Bonus Gems/hr]]),0)</f>
        <v>0</v>
      </c>
      <c r="Y31" s="201">
        <f ca="1">OFFSET(TblConstr[[#This Row],[Tot Doc]],1,0)*dock_boats_hr * (1 + tech_4_1*TblTech[[#This Row],[4-1]])</f>
        <v>1</v>
      </c>
      <c r="Z31" s="200"/>
      <c r="AA31" s="113">
        <f ca="1">TblPop[[#This Row],[Peasants]]*tax*TblPop[[#This Row],[Employment]] + (Construction!AZ32+Construction!BX32)*(alch_plat+(Magic!AL31&gt;0)*alchemist_flame_bonus)</f>
        <v>12119.400000000001</v>
      </c>
      <c r="AB31" s="113">
        <f ca="1">TblConstr[[#This Row],[Tot Farm]]*farm_food + TblConstr[[#This Row],[Tot Doc]]*dock_food</f>
        <v>3100</v>
      </c>
      <c r="AC31" s="113">
        <f ca="1">TblConstr[[#This Row],[Tot Ly]]*ly_lumber + TblConstr[[#This Row],[Tot Hav]]*fh_lumber</f>
        <v>1000</v>
      </c>
      <c r="AD31" s="113">
        <f ca="1">OFFSET(TblConstr[[#This Row],[Tot Tow]],1,0)*(tower_mana + tech_4_5*TblTech[[#This Row],[4-5]])</f>
        <v>375</v>
      </c>
      <c r="AE31" s="113">
        <f ca="1">OFFSET(TblConstr[[#This Row],[Tot OM]],1,0)*om_ore+IF(race="Dwarf",ROUNDDOWN(TblMili[[#This Row],[Unit 2]]/2,0),)</f>
        <v>1200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0.1</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617.51</v>
      </c>
      <c r="AP31" s="113">
        <f ca="1">(1+race_food_consumption)*TblPop[[#This Row],[Total]]*food_per_person*(1+tech_1_10*TblTech[[#This Row],[1-10]]+tech_7_5*TblTech[[#This Row],[7-5]])</f>
        <v>872.75</v>
      </c>
      <c r="AQ31" s="113">
        <f ca="1">TblProd[[#This Row],[Lumber]]*lumber_rot * (1 + tech_2_1*TblTech[[#This Row],[2-1]] + tech_2_8*TblTech[[#This Row],[2-8]] + tech_5_2*TblTech[[#This Row],[5-2]])</f>
        <v>257.68</v>
      </c>
      <c r="AR31" s="113">
        <f ca="1">TblProd[[#This Row],[Mana]]*mana_drain * (1 + tech_2_1*TblTech[[#This Row],[2-1]] + tech_2_8*TblTech[[#This Row],[2-8]])</f>
        <v>55.08</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747.5</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44405.874999999935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65561</v>
      </c>
      <c r="BJ31" s="113">
        <f ca="1">TblProd[[#This Row],[Food]]</f>
        <v>61751</v>
      </c>
      <c r="BK31" s="113">
        <f ca="1">TblProd[[#This Row],[Lumber]]</f>
        <v>25768</v>
      </c>
      <c r="BL31" s="113">
        <f ca="1">TblProd[[#This Row],[Mana]]</f>
        <v>2754</v>
      </c>
      <c r="BM31" s="113">
        <f ca="1">TblProd[[#This Row],[Ore]]</f>
        <v>4800</v>
      </c>
    </row>
    <row r="32" spans="1:65" x14ac:dyDescent="0.2">
      <c r="A32" s="178">
        <v>29</v>
      </c>
      <c r="B32" s="198">
        <f ca="1">TblImps[[#This Row],[Time]]</f>
        <v>44405.916666666599</v>
      </c>
      <c r="C32" s="199"/>
      <c r="D32" s="200"/>
      <c r="E32" s="113">
        <f ca="1">TblConstr[[#This Row],[Land]]</f>
        <v>299</v>
      </c>
      <c r="F32" s="113">
        <f ca="1">TblPop[[#This Row],[Peasants]]</f>
        <v>3477</v>
      </c>
      <c r="G32" s="113">
        <f ca="1">TblMili[[#This Row],[Networth (2)]]</f>
        <v>7480</v>
      </c>
      <c r="H32" s="113">
        <f ca="1">OFFSET(TblProd[[#This Row],[Platinum]],-1,0)+OFFSET(TblProd[[#This Row],[Plat/hr]],-1,0) - TblProd[[#This Row],[Expenses Platinum]] + IF(TblProd[[#This Row],[Plat Bonus]],TblPop[[#This Row],[Peasants]]*4) + SUM(TblConstr[[#This Row],[Dest Hom]:[Dest Doc]])*TblConstr[[#This Row],[CPA Platinum -DB]]*tech_3_3_2*TblTech[[#This Row],[3-3]]</f>
        <v>78892</v>
      </c>
      <c r="I32" s="113">
        <f ca="1">OFFSET(TblProd[[#This Row],[Food]],-1,0)+OFFSET(TblProd[[#This Row],[Food/hr]],-1,0)+ROUNDUP((TblConstr[[#This Row],[Farms]]*80+TblConstr[[#This Row],[Docks]]*35)*(1+OFFSET(TblProd[[#This Row],[Bonus Food/hr]],-1,0)),0)</f>
        <v>63593</v>
      </c>
      <c r="J32" s="113">
        <f ca="1">OFFSET(TblProd[[#This Row],[Lumber]],-1,0)+OFFSET(TblProd[[#This Row],[Lumber/hr]],-1,0) - TblProd[[#This Row],[Expenses Lumber]] + SUM(TblConstr[[#This Row],[Dest Hom]:[Dest Doc]])*TblConstr[[#This Row],[CPA Lumber -DB]]*tech_3_3_2*TblTech[[#This Row],[3-3]]</f>
        <v>26510</v>
      </c>
      <c r="K32" s="113">
        <f ca="1">OFFSET(TblProd[[#This Row],[Mana]],-1,0)+OFFSET(TblProd[[#This Row],[Mana/hr]],-1,0)- TblProd[[#This Row],[Expenses Mana]]</f>
        <v>3074</v>
      </c>
      <c r="L32" s="113">
        <f ca="1">OFFSET(TblProd[[#This Row],[Ore]],-1,0)+OFFSET(TblProd[[#This Row],[Ore/hr]],-1,0) -TblProd[[#This Row],[Expenses Ore]]</f>
        <v>6000</v>
      </c>
      <c r="M32" s="113">
        <f ca="1">OFFSET(TblProd[[#This Row],[Gems]],-1,0)+OFFSET(TblProd[[#This Row],[Gems/hr]],-1,0) - TblProd[[#This Row],[Expenses Gems]]</f>
        <v>0</v>
      </c>
      <c r="N32" s="113">
        <f ca="1">OFFSET(TblProd[[#This Row],[Boats]],-1,0)+OFFSET(TblProd[[#This Row],[Boats/hr]],-1,0)</f>
        <v>5</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750</v>
      </c>
      <c r="Q32" s="113">
        <v>10000</v>
      </c>
      <c r="R32" s="184"/>
      <c r="S32" s="113">
        <f ca="1">ROUNDDOWN(TblProd[[#This Row],[Raw Plat/hr]]*(1+TblProd[[#This Row],[Bonus Plat/hr]]),0)</f>
        <v>13791</v>
      </c>
      <c r="T32" s="113">
        <f ca="1">ROUND(TblProd[[#This Row],[Raw Food/hr]]*(1+TblProd[[#This Row],[Bonus Food/hr]])-TblProd[[#This Row],[Food decay]]-TblProd[[#This Row],[Food eaten]],0)</f>
        <v>1777</v>
      </c>
      <c r="U32" s="113">
        <f ca="1">ROUND(TblProd[[#This Row],[Raw Lumber/hr]]*(1+TblProd[[#This Row],[Bonus Lumber/hr]])-TblProd[[#This Row],[Lumber rot]],0)</f>
        <v>735</v>
      </c>
      <c r="V32" s="113">
        <f ca="1">ROUND(TblProd[[#This Row],[Raw Mana/hr]]*(1+TblProd[[#This Row],[Bonus Mana/hr]])-TblProd[[#This Row],[Mana drain]],0)</f>
        <v>314</v>
      </c>
      <c r="W32" s="113">
        <f ca="1">ROUNDDOWN(TblProd[[#This Row],[Raw Ore/hr]]*(1+TblProd[[#This Row],[Bonux Ore/hr]]),0)</f>
        <v>1200</v>
      </c>
      <c r="X32" s="113">
        <f ca="1">ROUNDDOWN(TblProd[[#This Row],[Raw Gems/hr]]*(1+TblProd[[#This Row],[Bonus Gems/hr]]),0)</f>
        <v>0</v>
      </c>
      <c r="Y32" s="201">
        <f ca="1">OFFSET(TblConstr[[#This Row],[Tot Doc]],1,0)*dock_boats_hr * (1 + tech_4_1*TblTech[[#This Row],[4-1]])</f>
        <v>1</v>
      </c>
      <c r="Z32" s="200"/>
      <c r="AA32" s="113">
        <f ca="1">TblPop[[#This Row],[Peasants]]*tax*TblPop[[#This Row],[Employment]] + (Construction!AZ33+Construction!BX33)*(alch_plat+(Magic!AL32&gt;0)*alchemist_flame_bonus)</f>
        <v>12537.900000000001</v>
      </c>
      <c r="AB32" s="113">
        <f ca="1">TblConstr[[#This Row],[Tot Farm]]*farm_food + TblConstr[[#This Row],[Tot Doc]]*dock_food</f>
        <v>3100</v>
      </c>
      <c r="AC32" s="113">
        <f ca="1">TblConstr[[#This Row],[Tot Ly]]*ly_lumber + TblConstr[[#This Row],[Tot Hav]]*fh_lumber</f>
        <v>1000</v>
      </c>
      <c r="AD32" s="113">
        <f ca="1">OFFSET(TblConstr[[#This Row],[Tot Tow]],1,0)*(tower_mana + tech_4_5*TblTech[[#This Row],[4-5]])</f>
        <v>375</v>
      </c>
      <c r="AE32" s="113">
        <f ca="1">OFFSET(TblConstr[[#This Row],[Tot OM]],1,0)*om_ore+IF(race="Dwarf",ROUNDDOWN(TblMili[[#This Row],[Unit 2]]/2,0),)</f>
        <v>1200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0.1</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635.93000000000006</v>
      </c>
      <c r="AP32" s="113">
        <f ca="1">(1+race_food_consumption)*TblPop[[#This Row],[Total]]*food_per_person*(1+tech_1_10*TblTech[[#This Row],[1-10]]+tech_7_5*TblTech[[#This Row],[7-5]])</f>
        <v>919.75</v>
      </c>
      <c r="AQ32" s="113">
        <f ca="1">TblProd[[#This Row],[Lumber]]*lumber_rot * (1 + tech_2_1*TblTech[[#This Row],[2-1]] + tech_2_8*TblTech[[#This Row],[2-8]] + tech_5_2*TblTech[[#This Row],[5-2]])</f>
        <v>265.10000000000002</v>
      </c>
      <c r="AR32" s="113">
        <f ca="1">TblProd[[#This Row],[Mana]]*mana_drain * (1 + tech_2_1*TblTech[[#This Row],[2-1]] + tech_2_8*TblTech[[#This Row],[2-8]])</f>
        <v>61.480000000000004</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44405.916666666599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78892</v>
      </c>
      <c r="BJ32" s="113">
        <f ca="1">TblProd[[#This Row],[Food]]</f>
        <v>63593</v>
      </c>
      <c r="BK32" s="113">
        <f ca="1">TblProd[[#This Row],[Lumber]]</f>
        <v>26510</v>
      </c>
      <c r="BL32" s="113">
        <f ca="1">TblProd[[#This Row],[Mana]]</f>
        <v>3074</v>
      </c>
      <c r="BM32" s="113">
        <f ca="1">TblProd[[#This Row],[Ore]]</f>
        <v>6000</v>
      </c>
    </row>
    <row r="33" spans="1:65" x14ac:dyDescent="0.2">
      <c r="A33" s="178">
        <v>30</v>
      </c>
      <c r="B33" s="198">
        <f ca="1">TblImps[[#This Row],[Time]]</f>
        <v>44405.958333333263</v>
      </c>
      <c r="C33" s="199"/>
      <c r="D33" s="200"/>
      <c r="E33" s="113">
        <f ca="1">TblConstr[[#This Row],[Land]]</f>
        <v>299</v>
      </c>
      <c r="F33" s="113">
        <f ca="1">TblPop[[#This Row],[Peasants]]</f>
        <v>3638</v>
      </c>
      <c r="G33" s="113">
        <f ca="1">TblMili[[#This Row],[Networth (2)]]</f>
        <v>7480</v>
      </c>
      <c r="H33" s="113">
        <f ca="1">OFFSET(TblProd[[#This Row],[Platinum]],-1,0)+OFFSET(TblProd[[#This Row],[Plat/hr]],-1,0) - TblProd[[#This Row],[Expenses Platinum]] + IF(TblProd[[#This Row],[Plat Bonus]],TblPop[[#This Row],[Peasants]]*4) + SUM(TblConstr[[#This Row],[Dest Hom]:[Dest Doc]])*TblConstr[[#This Row],[CPA Platinum -DB]]*tech_3_3_2*TblTech[[#This Row],[3-3]]</f>
        <v>92683</v>
      </c>
      <c r="I33" s="113">
        <f ca="1">OFFSET(TblProd[[#This Row],[Food]],-1,0)+OFFSET(TblProd[[#This Row],[Food/hr]],-1,0)+ROUNDUP((TblConstr[[#This Row],[Farms]]*80+TblConstr[[#This Row],[Docks]]*35)*(1+OFFSET(TblProd[[#This Row],[Bonus Food/hr]],-1,0)),0)</f>
        <v>65370</v>
      </c>
      <c r="J33" s="113">
        <f ca="1">OFFSET(TblProd[[#This Row],[Lumber]],-1,0)+OFFSET(TblProd[[#This Row],[Lumber/hr]],-1,0) - TblProd[[#This Row],[Expenses Lumber]] + SUM(TblConstr[[#This Row],[Dest Hom]:[Dest Doc]])*TblConstr[[#This Row],[CPA Lumber -DB]]*tech_3_3_2*TblTech[[#This Row],[3-3]]</f>
        <v>27245</v>
      </c>
      <c r="K33" s="113">
        <f ca="1">OFFSET(TblProd[[#This Row],[Mana]],-1,0)+OFFSET(TblProd[[#This Row],[Mana/hr]],-1,0)- TblProd[[#This Row],[Expenses Mana]]</f>
        <v>3388</v>
      </c>
      <c r="L33" s="113">
        <f ca="1">OFFSET(TblProd[[#This Row],[Ore]],-1,0)+OFFSET(TblProd[[#This Row],[Ore/hr]],-1,0) -TblProd[[#This Row],[Expenses Ore]]</f>
        <v>7200</v>
      </c>
      <c r="M33" s="113">
        <f ca="1">OFFSET(TblProd[[#This Row],[Gems]],-1,0)+OFFSET(TblProd[[#This Row],[Gems/hr]],-1,0) - TblProd[[#This Row],[Expenses Gems]]</f>
        <v>0</v>
      </c>
      <c r="N33" s="113">
        <f ca="1">OFFSET(TblProd[[#This Row],[Boats]],-1,0)+OFFSET(TblProd[[#This Row],[Boats/hr]],-1,0)</f>
        <v>6</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750</v>
      </c>
      <c r="Q33" s="113">
        <v>10000</v>
      </c>
      <c r="R33" s="184"/>
      <c r="S33" s="113">
        <f ca="1">ROUNDDOWN(TblProd[[#This Row],[Raw Plat/hr]]*(1+TblProd[[#This Row],[Bonus Plat/hr]]),0)</f>
        <v>14269</v>
      </c>
      <c r="T33" s="113">
        <f ca="1">ROUND(TblProd[[#This Row],[Raw Food/hr]]*(1+TblProd[[#This Row],[Bonus Food/hr]])-TblProd[[#This Row],[Food decay]]-TblProd[[#This Row],[Food eaten]],0)</f>
        <v>1710</v>
      </c>
      <c r="U33" s="113">
        <f ca="1">ROUND(TblProd[[#This Row],[Raw Lumber/hr]]*(1+TblProd[[#This Row],[Bonus Lumber/hr]])-TblProd[[#This Row],[Lumber rot]],0)</f>
        <v>728</v>
      </c>
      <c r="V33" s="113">
        <f ca="1">ROUND(TblProd[[#This Row],[Raw Mana/hr]]*(1+TblProd[[#This Row],[Bonus Mana/hr]])-TblProd[[#This Row],[Mana drain]],0)</f>
        <v>307</v>
      </c>
      <c r="W33" s="113">
        <f ca="1">ROUNDDOWN(TblProd[[#This Row],[Raw Ore/hr]]*(1+TblProd[[#This Row],[Bonux Ore/hr]]),0)</f>
        <v>1200</v>
      </c>
      <c r="X33" s="113">
        <f ca="1">ROUNDDOWN(TblProd[[#This Row],[Raw Gems/hr]]*(1+TblProd[[#This Row],[Bonus Gems/hr]]),0)</f>
        <v>0</v>
      </c>
      <c r="Y33" s="201">
        <f ca="1">OFFSET(TblConstr[[#This Row],[Tot Doc]],1,0)*dock_boats_hr * (1 + tech_4_1*TblTech[[#This Row],[4-1]])</f>
        <v>1</v>
      </c>
      <c r="Z33" s="200"/>
      <c r="AA33" s="113">
        <f ca="1">TblPop[[#This Row],[Peasants]]*tax*TblPop[[#This Row],[Employment]] + (Construction!AZ34+Construction!BX34)*(alch_plat+(Magic!AL33&gt;0)*alchemist_flame_bonus)</f>
        <v>12972.6</v>
      </c>
      <c r="AB33" s="113">
        <f ca="1">TblConstr[[#This Row],[Tot Farm]]*farm_food + TblConstr[[#This Row],[Tot Doc]]*dock_food</f>
        <v>3100</v>
      </c>
      <c r="AC33" s="113">
        <f ca="1">TblConstr[[#This Row],[Tot Ly]]*ly_lumber + TblConstr[[#This Row],[Tot Hav]]*fh_lumber</f>
        <v>1000</v>
      </c>
      <c r="AD33" s="113">
        <f ca="1">OFFSET(TblConstr[[#This Row],[Tot Tow]],1,0)*(tower_mana + tech_4_5*TblTech[[#This Row],[4-5]])</f>
        <v>375</v>
      </c>
      <c r="AE33" s="113">
        <f ca="1">OFFSET(TblConstr[[#This Row],[Tot OM]],1,0)*om_ore+IF(race="Dwarf",ROUNDDOWN(TblMili[[#This Row],[Unit 2]]/2,0),)</f>
        <v>1200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0.1</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653.70000000000005</v>
      </c>
      <c r="AP33" s="113">
        <f ca="1">(1+race_food_consumption)*TblPop[[#This Row],[Total]]*food_per_person*(1+tech_1_10*TblTech[[#This Row],[1-10]]+tech_7_5*TblTech[[#This Row],[7-5]])</f>
        <v>968.75</v>
      </c>
      <c r="AQ33" s="113">
        <f ca="1">TblProd[[#This Row],[Lumber]]*lumber_rot * (1 + tech_2_1*TblTech[[#This Row],[2-1]] + tech_2_8*TblTech[[#This Row],[2-8]] + tech_5_2*TblTech[[#This Row],[5-2]])</f>
        <v>272.45</v>
      </c>
      <c r="AR33" s="113">
        <f ca="1">TblProd[[#This Row],[Mana]]*mana_drain * (1 + tech_2_1*TblTech[[#This Row],[2-1]] + tech_2_8*TblTech[[#This Row],[2-8]])</f>
        <v>67.760000000000005</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44405.958333333263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92683</v>
      </c>
      <c r="BJ33" s="113">
        <f ca="1">TblProd[[#This Row],[Food]]</f>
        <v>65370</v>
      </c>
      <c r="BK33" s="113">
        <f ca="1">TblProd[[#This Row],[Lumber]]</f>
        <v>27245</v>
      </c>
      <c r="BL33" s="113">
        <f ca="1">TblProd[[#This Row],[Mana]]</f>
        <v>3388</v>
      </c>
      <c r="BM33" s="113">
        <f ca="1">TblProd[[#This Row],[Ore]]</f>
        <v>7200</v>
      </c>
    </row>
    <row r="34" spans="1:65" x14ac:dyDescent="0.2">
      <c r="A34" s="178">
        <v>31</v>
      </c>
      <c r="B34" s="198">
        <f ca="1">TblImps[[#This Row],[Time]]</f>
        <v>44405.999999999927</v>
      </c>
      <c r="C34" s="199"/>
      <c r="D34" s="200"/>
      <c r="E34" s="113">
        <f ca="1">TblConstr[[#This Row],[Land]]</f>
        <v>299</v>
      </c>
      <c r="F34" s="113">
        <f ca="1">TblPop[[#This Row],[Peasants]]</f>
        <v>3807</v>
      </c>
      <c r="G34" s="113">
        <f ca="1">TblMili[[#This Row],[Networth (2)]]</f>
        <v>7480</v>
      </c>
      <c r="H34" s="113">
        <f ca="1">OFFSET(TblProd[[#This Row],[Platinum]],-1,0)+OFFSET(TblProd[[#This Row],[Plat/hr]],-1,0) - TblProd[[#This Row],[Expenses Platinum]] + IF(TblProd[[#This Row],[Plat Bonus]],TblPop[[#This Row],[Peasants]]*4) + SUM(TblConstr[[#This Row],[Dest Hom]:[Dest Doc]])*TblConstr[[#This Row],[CPA Platinum -DB]]*tech_3_3_2*TblTech[[#This Row],[3-3]]</f>
        <v>106952</v>
      </c>
      <c r="I34" s="113">
        <f ca="1">OFFSET(TblProd[[#This Row],[Food]],-1,0)+OFFSET(TblProd[[#This Row],[Food/hr]],-1,0)+ROUNDUP((TblConstr[[#This Row],[Farms]]*80+TblConstr[[#This Row],[Docks]]*35)*(1+OFFSET(TblProd[[#This Row],[Bonus Food/hr]],-1,0)),0)</f>
        <v>67080</v>
      </c>
      <c r="J34" s="113">
        <f ca="1">OFFSET(TblProd[[#This Row],[Lumber]],-1,0)+OFFSET(TblProd[[#This Row],[Lumber/hr]],-1,0) - TblProd[[#This Row],[Expenses Lumber]] + SUM(TblConstr[[#This Row],[Dest Hom]:[Dest Doc]])*TblConstr[[#This Row],[CPA Lumber -DB]]*tech_3_3_2*TblTech[[#This Row],[3-3]]</f>
        <v>27973</v>
      </c>
      <c r="K34" s="113">
        <f ca="1">OFFSET(TblProd[[#This Row],[Mana]],-1,0)+OFFSET(TblProd[[#This Row],[Mana/hr]],-1,0)- TblProd[[#This Row],[Expenses Mana]]</f>
        <v>3695</v>
      </c>
      <c r="L34" s="113">
        <f ca="1">OFFSET(TblProd[[#This Row],[Ore]],-1,0)+OFFSET(TblProd[[#This Row],[Ore/hr]],-1,0) -TblProd[[#This Row],[Expenses Ore]]</f>
        <v>8400</v>
      </c>
      <c r="M34" s="113">
        <f ca="1">OFFSET(TblProd[[#This Row],[Gems]],-1,0)+OFFSET(TblProd[[#This Row],[Gems/hr]],-1,0) - TblProd[[#This Row],[Expenses Gems]]</f>
        <v>0</v>
      </c>
      <c r="N34" s="113">
        <f ca="1">OFFSET(TblProd[[#This Row],[Boats]],-1,0)+OFFSET(TblProd[[#This Row],[Boats/hr]],-1,0)</f>
        <v>7</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750</v>
      </c>
      <c r="Q34" s="113">
        <v>10000</v>
      </c>
      <c r="R34" s="184"/>
      <c r="S34" s="113">
        <f ca="1">ROUNDDOWN(TblProd[[#This Row],[Raw Plat/hr]]*(1+TblProd[[#This Row],[Bonus Plat/hr]]),0)</f>
        <v>14771</v>
      </c>
      <c r="T34" s="113">
        <f ca="1">ROUND(TblProd[[#This Row],[Raw Food/hr]]*(1+TblProd[[#This Row],[Bonus Food/hr]])-TblProd[[#This Row],[Food decay]]-TblProd[[#This Row],[Food eaten]],0)</f>
        <v>1642</v>
      </c>
      <c r="U34" s="113">
        <f ca="1">ROUND(TblProd[[#This Row],[Raw Lumber/hr]]*(1+TblProd[[#This Row],[Bonus Lumber/hr]])-TblProd[[#This Row],[Lumber rot]],0)</f>
        <v>720</v>
      </c>
      <c r="V34" s="113">
        <f ca="1">ROUND(TblProd[[#This Row],[Raw Mana/hr]]*(1+TblProd[[#This Row],[Bonus Mana/hr]])-TblProd[[#This Row],[Mana drain]],0)</f>
        <v>301</v>
      </c>
      <c r="W34" s="113">
        <f ca="1">ROUNDDOWN(TblProd[[#This Row],[Raw Ore/hr]]*(1+TblProd[[#This Row],[Bonux Ore/hr]]),0)</f>
        <v>1200</v>
      </c>
      <c r="X34" s="113">
        <f ca="1">ROUNDDOWN(TblProd[[#This Row],[Raw Gems/hr]]*(1+TblProd[[#This Row],[Bonus Gems/hr]]),0)</f>
        <v>0</v>
      </c>
      <c r="Y34" s="201">
        <f ca="1">OFFSET(TblConstr[[#This Row],[Tot Doc]],1,0)*dock_boats_hr * (1 + tech_4_1*TblTech[[#This Row],[4-1]])</f>
        <v>1</v>
      </c>
      <c r="Z34" s="200"/>
      <c r="AA34" s="113">
        <f ca="1">TblPop[[#This Row],[Peasants]]*tax*TblPop[[#This Row],[Employment]] + (Construction!AZ35+Construction!BX35)*(alch_plat+(Magic!AL34&gt;0)*alchemist_flame_bonus)</f>
        <v>13428.900000000001</v>
      </c>
      <c r="AB34" s="113">
        <f ca="1">TblConstr[[#This Row],[Tot Farm]]*farm_food + TblConstr[[#This Row],[Tot Doc]]*dock_food</f>
        <v>3100</v>
      </c>
      <c r="AC34" s="113">
        <f ca="1">TblConstr[[#This Row],[Tot Ly]]*ly_lumber + TblConstr[[#This Row],[Tot Hav]]*fh_lumber</f>
        <v>1000</v>
      </c>
      <c r="AD34" s="113">
        <f ca="1">OFFSET(TblConstr[[#This Row],[Tot Tow]],1,0)*(tower_mana + tech_4_5*TblTech[[#This Row],[4-5]])</f>
        <v>375</v>
      </c>
      <c r="AE34" s="113">
        <f ca="1">OFFSET(TblConstr[[#This Row],[Tot OM]],1,0)*om_ore+IF(race="Dwarf",ROUNDDOWN(TblMili[[#This Row],[Unit 2]]/2,0),)</f>
        <v>1200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0.1</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670.80000000000007</v>
      </c>
      <c r="AP34" s="113">
        <f ca="1">(1+race_food_consumption)*TblPop[[#This Row],[Total]]*food_per_person*(1+tech_1_10*TblTech[[#This Row],[1-10]]+tech_7_5*TblTech[[#This Row],[7-5]])</f>
        <v>1020</v>
      </c>
      <c r="AQ34" s="113">
        <f ca="1">TblProd[[#This Row],[Lumber]]*lumber_rot * (1 + tech_2_1*TblTech[[#This Row],[2-1]] + tech_2_8*TblTech[[#This Row],[2-8]] + tech_5_2*TblTech[[#This Row],[5-2]])</f>
        <v>279.73</v>
      </c>
      <c r="AR34" s="113">
        <f ca="1">TblProd[[#This Row],[Mana]]*mana_drain * (1 + tech_2_1*TblTech[[#This Row],[2-1]] + tech_2_8*TblTech[[#This Row],[2-8]])</f>
        <v>73.900000000000006</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44405.999999999927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106952</v>
      </c>
      <c r="BJ34" s="113">
        <f ca="1">TblProd[[#This Row],[Food]]</f>
        <v>67080</v>
      </c>
      <c r="BK34" s="113">
        <f ca="1">TblProd[[#This Row],[Lumber]]</f>
        <v>27973</v>
      </c>
      <c r="BL34" s="113">
        <f ca="1">TblProd[[#This Row],[Mana]]</f>
        <v>3695</v>
      </c>
      <c r="BM34" s="113">
        <f ca="1">TblProd[[#This Row],[Ore]]</f>
        <v>8400</v>
      </c>
    </row>
    <row r="35" spans="1:65" x14ac:dyDescent="0.2">
      <c r="A35" s="178">
        <v>32</v>
      </c>
      <c r="B35" s="198">
        <f ca="1">TblImps[[#This Row],[Time]]</f>
        <v>44406.041666666591</v>
      </c>
      <c r="C35" s="199"/>
      <c r="D35" s="200"/>
      <c r="E35" s="113">
        <f ca="1">TblConstr[[#This Row],[Land]]</f>
        <v>299</v>
      </c>
      <c r="F35" s="113">
        <f ca="1">TblPop[[#This Row],[Peasants]]</f>
        <v>3984</v>
      </c>
      <c r="G35" s="113">
        <f ca="1">TblMili[[#This Row],[Networth (2)]]</f>
        <v>7480</v>
      </c>
      <c r="H35" s="113">
        <f ca="1">OFFSET(TblProd[[#This Row],[Platinum]],-1,0)+OFFSET(TblProd[[#This Row],[Plat/hr]],-1,0) - TblProd[[#This Row],[Expenses Platinum]] + IF(TblProd[[#This Row],[Plat Bonus]],TblPop[[#This Row],[Peasants]]*4) + SUM(TblConstr[[#This Row],[Dest Hom]:[Dest Doc]])*TblConstr[[#This Row],[CPA Platinum -DB]]*tech_3_3_2*TblTech[[#This Row],[3-3]]</f>
        <v>121723</v>
      </c>
      <c r="I35" s="113">
        <f ca="1">OFFSET(TblProd[[#This Row],[Food]],-1,0)+OFFSET(TblProd[[#This Row],[Food/hr]],-1,0)+ROUNDUP((TblConstr[[#This Row],[Farms]]*80+TblConstr[[#This Row],[Docks]]*35)*(1+OFFSET(TblProd[[#This Row],[Bonus Food/hr]],-1,0)),0)</f>
        <v>68722</v>
      </c>
      <c r="J35" s="113">
        <f ca="1">OFFSET(TblProd[[#This Row],[Lumber]],-1,0)+OFFSET(TblProd[[#This Row],[Lumber/hr]],-1,0) - TblProd[[#This Row],[Expenses Lumber]] + SUM(TblConstr[[#This Row],[Dest Hom]:[Dest Doc]])*TblConstr[[#This Row],[CPA Lumber -DB]]*tech_3_3_2*TblTech[[#This Row],[3-3]]</f>
        <v>28693</v>
      </c>
      <c r="K35" s="113">
        <f ca="1">OFFSET(TblProd[[#This Row],[Mana]],-1,0)+OFFSET(TblProd[[#This Row],[Mana/hr]],-1,0)- TblProd[[#This Row],[Expenses Mana]]</f>
        <v>3996</v>
      </c>
      <c r="L35" s="113">
        <f ca="1">OFFSET(TblProd[[#This Row],[Ore]],-1,0)+OFFSET(TblProd[[#This Row],[Ore/hr]],-1,0) -TblProd[[#This Row],[Expenses Ore]]</f>
        <v>9600</v>
      </c>
      <c r="M35" s="113">
        <f ca="1">OFFSET(TblProd[[#This Row],[Gems]],-1,0)+OFFSET(TblProd[[#This Row],[Gems/hr]],-1,0) - TblProd[[#This Row],[Expenses Gems]]</f>
        <v>0</v>
      </c>
      <c r="N35" s="113">
        <f ca="1">OFFSET(TblProd[[#This Row],[Boats]],-1,0)+OFFSET(TblProd[[#This Row],[Boats/hr]],-1,0)</f>
        <v>8</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750</v>
      </c>
      <c r="Q35" s="113">
        <v>10000</v>
      </c>
      <c r="R35" s="184"/>
      <c r="S35" s="113">
        <f ca="1">ROUNDDOWN(TblProd[[#This Row],[Raw Plat/hr]]*(1+TblProd[[#This Row],[Bonus Plat/hr]]),0)</f>
        <v>15297</v>
      </c>
      <c r="T35" s="113">
        <f ca="1">ROUND(TblProd[[#This Row],[Raw Food/hr]]*(1+TblProd[[#This Row],[Bonus Food/hr]])-TblProd[[#This Row],[Food decay]]-TblProd[[#This Row],[Food eaten]],0)</f>
        <v>1572</v>
      </c>
      <c r="U35" s="113">
        <f ca="1">ROUND(TblProd[[#This Row],[Raw Lumber/hr]]*(1+TblProd[[#This Row],[Bonus Lumber/hr]])-TblProd[[#This Row],[Lumber rot]],0)</f>
        <v>713</v>
      </c>
      <c r="V35" s="113">
        <f ca="1">ROUND(TblProd[[#This Row],[Raw Mana/hr]]*(1+TblProd[[#This Row],[Bonus Mana/hr]])-TblProd[[#This Row],[Mana drain]],0)</f>
        <v>295</v>
      </c>
      <c r="W35" s="113">
        <f ca="1">ROUNDDOWN(TblProd[[#This Row],[Raw Ore/hr]]*(1+TblProd[[#This Row],[Bonux Ore/hr]]),0)</f>
        <v>1200</v>
      </c>
      <c r="X35" s="113">
        <f ca="1">ROUNDDOWN(TblProd[[#This Row],[Raw Gems/hr]]*(1+TblProd[[#This Row],[Bonus Gems/hr]]),0)</f>
        <v>0</v>
      </c>
      <c r="Y35" s="201">
        <f ca="1">OFFSET(TblConstr[[#This Row],[Tot Doc]],1,0)*dock_boats_hr * (1 + tech_4_1*TblTech[[#This Row],[4-1]])</f>
        <v>1</v>
      </c>
      <c r="Z35" s="200"/>
      <c r="AA35" s="113">
        <f ca="1">TblPop[[#This Row],[Peasants]]*tax*TblPop[[#This Row],[Employment]] + (Construction!AZ36+Construction!BX36)*(alch_plat+(Magic!AL35&gt;0)*alchemist_flame_bonus)</f>
        <v>13906.800000000001</v>
      </c>
      <c r="AB35" s="113">
        <f ca="1">TblConstr[[#This Row],[Tot Farm]]*farm_food + TblConstr[[#This Row],[Tot Doc]]*dock_food</f>
        <v>3100</v>
      </c>
      <c r="AC35" s="113">
        <f ca="1">TblConstr[[#This Row],[Tot Ly]]*ly_lumber + TblConstr[[#This Row],[Tot Hav]]*fh_lumber</f>
        <v>1000</v>
      </c>
      <c r="AD35" s="113">
        <f ca="1">OFFSET(TblConstr[[#This Row],[Tot Tow]],1,0)*(tower_mana + tech_4_5*TblTech[[#This Row],[4-5]])</f>
        <v>375</v>
      </c>
      <c r="AE35" s="113">
        <f ca="1">OFFSET(TblConstr[[#This Row],[Tot OM]],1,0)*om_ore+IF(race="Dwarf",ROUNDDOWN(TblMili[[#This Row],[Unit 2]]/2,0),)</f>
        <v>1200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0.1</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687.22</v>
      </c>
      <c r="AP35" s="113">
        <f ca="1">(1+race_food_consumption)*TblPop[[#This Row],[Total]]*food_per_person*(1+tech_1_10*TblTech[[#This Row],[1-10]]+tech_7_5*TblTech[[#This Row],[7-5]])</f>
        <v>1073.75</v>
      </c>
      <c r="AQ35" s="113">
        <f ca="1">TblProd[[#This Row],[Lumber]]*lumber_rot * (1 + tech_2_1*TblTech[[#This Row],[2-1]] + tech_2_8*TblTech[[#This Row],[2-8]] + tech_5_2*TblTech[[#This Row],[5-2]])</f>
        <v>286.93</v>
      </c>
      <c r="AR35" s="113">
        <f ca="1">TblProd[[#This Row],[Mana]]*mana_drain * (1 + tech_2_1*TblTech[[#This Row],[2-1]] + tech_2_8*TblTech[[#This Row],[2-8]])</f>
        <v>79.92</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44406.041666666591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121723</v>
      </c>
      <c r="BJ35" s="113">
        <f ca="1">TblProd[[#This Row],[Food]]</f>
        <v>68722</v>
      </c>
      <c r="BK35" s="113">
        <f ca="1">TblProd[[#This Row],[Lumber]]</f>
        <v>28693</v>
      </c>
      <c r="BL35" s="113">
        <f ca="1">TblProd[[#This Row],[Mana]]</f>
        <v>3996</v>
      </c>
      <c r="BM35" s="113">
        <f ca="1">TblProd[[#This Row],[Ore]]</f>
        <v>9600</v>
      </c>
    </row>
    <row r="36" spans="1:65" x14ac:dyDescent="0.2">
      <c r="A36" s="178">
        <v>33</v>
      </c>
      <c r="B36" s="198">
        <f ca="1">TblImps[[#This Row],[Time]]</f>
        <v>44406.083333333256</v>
      </c>
      <c r="C36" s="199"/>
      <c r="D36" s="200"/>
      <c r="E36" s="113">
        <f ca="1">TblConstr[[#This Row],[Land]]</f>
        <v>299</v>
      </c>
      <c r="F36" s="113">
        <f ca="1">TblPop[[#This Row],[Peasants]]</f>
        <v>4169</v>
      </c>
      <c r="G36" s="113">
        <f ca="1">TblMili[[#This Row],[Networth (2)]]</f>
        <v>7480</v>
      </c>
      <c r="H36" s="113">
        <f ca="1">OFFSET(TblProd[[#This Row],[Platinum]],-1,0)+OFFSET(TblProd[[#This Row],[Plat/hr]],-1,0) - TblProd[[#This Row],[Expenses Platinum]] + IF(TblProd[[#This Row],[Plat Bonus]],TblPop[[#This Row],[Peasants]]*4) + SUM(TblConstr[[#This Row],[Dest Hom]:[Dest Doc]])*TblConstr[[#This Row],[CPA Platinum -DB]]*tech_3_3_2*TblTech[[#This Row],[3-3]]</f>
        <v>137020</v>
      </c>
      <c r="I36" s="113">
        <f ca="1">OFFSET(TblProd[[#This Row],[Food]],-1,0)+OFFSET(TblProd[[#This Row],[Food/hr]],-1,0)+ROUNDUP((TblConstr[[#This Row],[Farms]]*80+TblConstr[[#This Row],[Docks]]*35)*(1+OFFSET(TblProd[[#This Row],[Bonus Food/hr]],-1,0)),0)</f>
        <v>70294</v>
      </c>
      <c r="J36" s="113">
        <f ca="1">OFFSET(TblProd[[#This Row],[Lumber]],-1,0)+OFFSET(TblProd[[#This Row],[Lumber/hr]],-1,0) - TblProd[[#This Row],[Expenses Lumber]] + SUM(TblConstr[[#This Row],[Dest Hom]:[Dest Doc]])*TblConstr[[#This Row],[CPA Lumber -DB]]*tech_3_3_2*TblTech[[#This Row],[3-3]]</f>
        <v>29406</v>
      </c>
      <c r="K36" s="113">
        <f ca="1">OFFSET(TblProd[[#This Row],[Mana]],-1,0)+OFFSET(TblProd[[#This Row],[Mana/hr]],-1,0)- TblProd[[#This Row],[Expenses Mana]]</f>
        <v>4291</v>
      </c>
      <c r="L36" s="113">
        <f ca="1">OFFSET(TblProd[[#This Row],[Ore]],-1,0)+OFFSET(TblProd[[#This Row],[Ore/hr]],-1,0) -TblProd[[#This Row],[Expenses Ore]]</f>
        <v>10800</v>
      </c>
      <c r="M36" s="113">
        <f ca="1">OFFSET(TblProd[[#This Row],[Gems]],-1,0)+OFFSET(TblProd[[#This Row],[Gems/hr]],-1,0) - TblProd[[#This Row],[Expenses Gems]]</f>
        <v>0</v>
      </c>
      <c r="N36" s="113">
        <f ca="1">OFFSET(TblProd[[#This Row],[Boats]],-1,0)+OFFSET(TblProd[[#This Row],[Boats/hr]],-1,0)</f>
        <v>9</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750</v>
      </c>
      <c r="Q36" s="113">
        <v>10000</v>
      </c>
      <c r="R36" s="184"/>
      <c r="S36" s="113">
        <f ca="1">ROUNDDOWN(TblProd[[#This Row],[Raw Plat/hr]]*(1+TblProd[[#This Row],[Bonus Plat/hr]]),0)</f>
        <v>15846</v>
      </c>
      <c r="T36" s="113">
        <f ca="1">ROUND(TblProd[[#This Row],[Raw Food/hr]]*(1+TblProd[[#This Row],[Bonus Food/hr]])-TblProd[[#This Row],[Food decay]]-TblProd[[#This Row],[Food eaten]],0)</f>
        <v>1500</v>
      </c>
      <c r="U36" s="113">
        <f ca="1">ROUND(TblProd[[#This Row],[Raw Lumber/hr]]*(1+TblProd[[#This Row],[Bonus Lumber/hr]])-TblProd[[#This Row],[Lumber rot]],0)</f>
        <v>706</v>
      </c>
      <c r="V36" s="113">
        <f ca="1">ROUND(TblProd[[#This Row],[Raw Mana/hr]]*(1+TblProd[[#This Row],[Bonus Mana/hr]])-TblProd[[#This Row],[Mana drain]],0)</f>
        <v>289</v>
      </c>
      <c r="W36" s="113">
        <f ca="1">ROUNDDOWN(TblProd[[#This Row],[Raw Ore/hr]]*(1+TblProd[[#This Row],[Bonux Ore/hr]]),0)</f>
        <v>1200</v>
      </c>
      <c r="X36" s="113">
        <f ca="1">ROUNDDOWN(TblProd[[#This Row],[Raw Gems/hr]]*(1+TblProd[[#This Row],[Bonus Gems/hr]]),0)</f>
        <v>0</v>
      </c>
      <c r="Y36" s="201">
        <f ca="1">OFFSET(TblConstr[[#This Row],[Tot Doc]],1,0)*dock_boats_hr * (1 + tech_4_1*TblTech[[#This Row],[4-1]])</f>
        <v>1</v>
      </c>
      <c r="Z36" s="200"/>
      <c r="AA36" s="113">
        <f ca="1">TblPop[[#This Row],[Peasants]]*tax*TblPop[[#This Row],[Employment]] + (Construction!AZ37+Construction!BX37)*(alch_plat+(Magic!AL36&gt;0)*alchemist_flame_bonus)</f>
        <v>14406.300000000001</v>
      </c>
      <c r="AB36" s="113">
        <f ca="1">TblConstr[[#This Row],[Tot Farm]]*farm_food + TblConstr[[#This Row],[Tot Doc]]*dock_food</f>
        <v>3100</v>
      </c>
      <c r="AC36" s="113">
        <f ca="1">TblConstr[[#This Row],[Tot Ly]]*ly_lumber + TblConstr[[#This Row],[Tot Hav]]*fh_lumber</f>
        <v>1000</v>
      </c>
      <c r="AD36" s="113">
        <f ca="1">OFFSET(TblConstr[[#This Row],[Tot Tow]],1,0)*(tower_mana + tech_4_5*TblTech[[#This Row],[4-5]])</f>
        <v>375</v>
      </c>
      <c r="AE36" s="113">
        <f ca="1">OFFSET(TblConstr[[#This Row],[Tot OM]],1,0)*om_ore+IF(race="Dwarf",ROUNDDOWN(TblMili[[#This Row],[Unit 2]]/2,0),)</f>
        <v>1200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0.1</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702.94</v>
      </c>
      <c r="AP36" s="113">
        <f ca="1">(1+race_food_consumption)*TblPop[[#This Row],[Total]]*food_per_person*(1+tech_1_10*TblTech[[#This Row],[1-10]]+tech_7_5*TblTech[[#This Row],[7-5]])</f>
        <v>1130</v>
      </c>
      <c r="AQ36" s="113">
        <f ca="1">TblProd[[#This Row],[Lumber]]*lumber_rot * (1 + tech_2_1*TblTech[[#This Row],[2-1]] + tech_2_8*TblTech[[#This Row],[2-8]] + tech_5_2*TblTech[[#This Row],[5-2]])</f>
        <v>294.06</v>
      </c>
      <c r="AR36" s="113">
        <f ca="1">TblProd[[#This Row],[Mana]]*mana_drain * (1 + tech_2_1*TblTech[[#This Row],[2-1]] + tech_2_8*TblTech[[#This Row],[2-8]])</f>
        <v>85.820000000000007</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44406.083333333256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137020</v>
      </c>
      <c r="BJ36" s="113">
        <f ca="1">TblProd[[#This Row],[Food]]</f>
        <v>70294</v>
      </c>
      <c r="BK36" s="113">
        <f ca="1">TblProd[[#This Row],[Lumber]]</f>
        <v>29406</v>
      </c>
      <c r="BL36" s="113">
        <f ca="1">TblProd[[#This Row],[Mana]]</f>
        <v>4291</v>
      </c>
      <c r="BM36" s="113">
        <f ca="1">TblProd[[#This Row],[Ore]]</f>
        <v>10800</v>
      </c>
    </row>
    <row r="37" spans="1:65" x14ac:dyDescent="0.2">
      <c r="A37" s="178">
        <v>34</v>
      </c>
      <c r="B37" s="198">
        <f ca="1">TblImps[[#This Row],[Time]]</f>
        <v>44406.12499999992</v>
      </c>
      <c r="C37" s="199"/>
      <c r="D37" s="200"/>
      <c r="E37" s="113">
        <f ca="1">TblConstr[[#This Row],[Land]]</f>
        <v>299</v>
      </c>
      <c r="F37" s="113">
        <f ca="1">TblPop[[#This Row],[Peasants]]</f>
        <v>4358</v>
      </c>
      <c r="G37" s="113">
        <f ca="1">TblMili[[#This Row],[Networth (2)]]</f>
        <v>7480</v>
      </c>
      <c r="H37" s="113">
        <f ca="1">OFFSET(TblProd[[#This Row],[Platinum]],-1,0)+OFFSET(TblProd[[#This Row],[Plat/hr]],-1,0) - TblProd[[#This Row],[Expenses Platinum]] + IF(TblProd[[#This Row],[Plat Bonus]],TblPop[[#This Row],[Peasants]]*4) + SUM(TblConstr[[#This Row],[Dest Hom]:[Dest Doc]])*TblConstr[[#This Row],[CPA Platinum -DB]]*tech_3_3_2*TblTech[[#This Row],[3-3]]</f>
        <v>152866</v>
      </c>
      <c r="I37" s="113">
        <f ca="1">OFFSET(TblProd[[#This Row],[Food]],-1,0)+OFFSET(TblProd[[#This Row],[Food/hr]],-1,0)+ROUNDUP((TblConstr[[#This Row],[Farms]]*80+TblConstr[[#This Row],[Docks]]*35)*(1+OFFSET(TblProd[[#This Row],[Bonus Food/hr]],-1,0)),0)</f>
        <v>71794</v>
      </c>
      <c r="J37" s="113">
        <f ca="1">OFFSET(TblProd[[#This Row],[Lumber]],-1,0)+OFFSET(TblProd[[#This Row],[Lumber/hr]],-1,0) - TblProd[[#This Row],[Expenses Lumber]] + SUM(TblConstr[[#This Row],[Dest Hom]:[Dest Doc]])*TblConstr[[#This Row],[CPA Lumber -DB]]*tech_3_3_2*TblTech[[#This Row],[3-3]]</f>
        <v>30112</v>
      </c>
      <c r="K37" s="113">
        <f ca="1">OFFSET(TblProd[[#This Row],[Mana]],-1,0)+OFFSET(TblProd[[#This Row],[Mana/hr]],-1,0)- TblProd[[#This Row],[Expenses Mana]]</f>
        <v>4580</v>
      </c>
      <c r="L37" s="113">
        <f ca="1">OFFSET(TblProd[[#This Row],[Ore]],-1,0)+OFFSET(TblProd[[#This Row],[Ore/hr]],-1,0) -TblProd[[#This Row],[Expenses Ore]]</f>
        <v>12000</v>
      </c>
      <c r="M37" s="113">
        <f ca="1">OFFSET(TblProd[[#This Row],[Gems]],-1,0)+OFFSET(TblProd[[#This Row],[Gems/hr]],-1,0) - TblProd[[#This Row],[Expenses Gems]]</f>
        <v>0</v>
      </c>
      <c r="N37" s="113">
        <f ca="1">OFFSET(TblProd[[#This Row],[Boats]],-1,0)+OFFSET(TblProd[[#This Row],[Boats/hr]],-1,0)</f>
        <v>10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750</v>
      </c>
      <c r="Q37" s="113">
        <v>10000</v>
      </c>
      <c r="R37" s="184"/>
      <c r="S37" s="113">
        <f ca="1">ROUNDDOWN(TblProd[[#This Row],[Raw Plat/hr]]*(1+TblProd[[#This Row],[Bonus Plat/hr]]),0)</f>
        <v>16408</v>
      </c>
      <c r="T37" s="113">
        <f ca="1">ROUND(TblProd[[#This Row],[Raw Food/hr]]*(1+TblProd[[#This Row],[Bonus Food/hr]])-TblProd[[#This Row],[Food decay]]-TblProd[[#This Row],[Food eaten]],0)</f>
        <v>1427</v>
      </c>
      <c r="U37" s="113">
        <f ca="1">ROUND(TblProd[[#This Row],[Raw Lumber/hr]]*(1+TblProd[[#This Row],[Bonus Lumber/hr]])-TblProd[[#This Row],[Lumber rot]],0)</f>
        <v>699</v>
      </c>
      <c r="V37" s="113">
        <f ca="1">ROUND(TblProd[[#This Row],[Raw Mana/hr]]*(1+TblProd[[#This Row],[Bonus Mana/hr]])-TblProd[[#This Row],[Mana drain]],0)</f>
        <v>283</v>
      </c>
      <c r="W37" s="113">
        <f ca="1">ROUNDDOWN(TblProd[[#This Row],[Raw Ore/hr]]*(1+TblProd[[#This Row],[Bonux Ore/hr]]),0)</f>
        <v>1200</v>
      </c>
      <c r="X37" s="113">
        <f ca="1">ROUNDDOWN(TblProd[[#This Row],[Raw Gems/hr]]*(1+TblProd[[#This Row],[Bonus Gems/hr]]),0)</f>
        <v>0</v>
      </c>
      <c r="Y37" s="201">
        <f ca="1">OFFSET(TblConstr[[#This Row],[Tot Doc]],1,0)*dock_boats_hr * (1 + tech_4_1*TblTech[[#This Row],[4-1]])</f>
        <v>1</v>
      </c>
      <c r="Z37" s="200"/>
      <c r="AA37" s="113">
        <f ca="1">TblPop[[#This Row],[Peasants]]*tax*TblPop[[#This Row],[Employment]] + (Construction!AZ38+Construction!BX38)*(alch_plat+(Magic!AL37&gt;0)*alchemist_flame_bonus)</f>
        <v>14916.6</v>
      </c>
      <c r="AB37" s="113">
        <f ca="1">TblConstr[[#This Row],[Tot Farm]]*farm_food + TblConstr[[#This Row],[Tot Doc]]*dock_food</f>
        <v>3100</v>
      </c>
      <c r="AC37" s="113">
        <f ca="1">TblConstr[[#This Row],[Tot Ly]]*ly_lumber + TblConstr[[#This Row],[Tot Hav]]*fh_lumber</f>
        <v>1000</v>
      </c>
      <c r="AD37" s="113">
        <f ca="1">OFFSET(TblConstr[[#This Row],[Tot Tow]],1,0)*(tower_mana + tech_4_5*TblTech[[#This Row],[4-5]])</f>
        <v>375</v>
      </c>
      <c r="AE37" s="113">
        <f ca="1">OFFSET(TblConstr[[#This Row],[Tot OM]],1,0)*om_ore+IF(race="Dwarf",ROUNDDOWN(TblMili[[#This Row],[Unit 2]]/2,0),)</f>
        <v>1200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0.1</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717.94</v>
      </c>
      <c r="AP37" s="113">
        <f ca="1">(1+race_food_consumption)*TblPop[[#This Row],[Total]]*food_per_person*(1+tech_1_10*TblTech[[#This Row],[1-10]]+tech_7_5*TblTech[[#This Row],[7-5]])</f>
        <v>1187.75</v>
      </c>
      <c r="AQ37" s="113">
        <f ca="1">TblProd[[#This Row],[Lumber]]*lumber_rot * (1 + tech_2_1*TblTech[[#This Row],[2-1]] + tech_2_8*TblTech[[#This Row],[2-8]] + tech_5_2*TblTech[[#This Row],[5-2]])</f>
        <v>301.12</v>
      </c>
      <c r="AR37" s="113">
        <f ca="1">TblProd[[#This Row],[Mana]]*mana_drain * (1 + tech_2_1*TblTech[[#This Row],[2-1]] + tech_2_8*TblTech[[#This Row],[2-8]])</f>
        <v>91.600000000000009</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44406.12499999992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152866</v>
      </c>
      <c r="BJ37" s="113">
        <f ca="1">TblProd[[#This Row],[Food]]</f>
        <v>71794</v>
      </c>
      <c r="BK37" s="113">
        <f ca="1">TblProd[[#This Row],[Lumber]]</f>
        <v>30112</v>
      </c>
      <c r="BL37" s="113">
        <f ca="1">TblProd[[#This Row],[Mana]]</f>
        <v>4580</v>
      </c>
      <c r="BM37" s="113">
        <f ca="1">TblProd[[#This Row],[Ore]]</f>
        <v>12000</v>
      </c>
    </row>
    <row r="38" spans="1:65" x14ac:dyDescent="0.2">
      <c r="A38" s="178">
        <v>35</v>
      </c>
      <c r="B38" s="198">
        <f ca="1">TblImps[[#This Row],[Time]]</f>
        <v>44406.166666666584</v>
      </c>
      <c r="C38" s="199"/>
      <c r="D38" s="200"/>
      <c r="E38" s="113">
        <f ca="1">TblConstr[[#This Row],[Land]]</f>
        <v>299</v>
      </c>
      <c r="F38" s="113">
        <f ca="1">TblPop[[#This Row],[Peasants]]</f>
        <v>4314</v>
      </c>
      <c r="G38" s="113">
        <f ca="1">TblMili[[#This Row],[Networth (2)]]</f>
        <v>7480</v>
      </c>
      <c r="H38" s="113">
        <f ca="1">OFFSET(TblProd[[#This Row],[Platinum]],-1,0)+OFFSET(TblProd[[#This Row],[Plat/hr]],-1,0) - TblProd[[#This Row],[Expenses Platinum]] + IF(TblProd[[#This Row],[Plat Bonus]],TblPop[[#This Row],[Peasants]]*4) + SUM(TblConstr[[#This Row],[Dest Hom]:[Dest Doc]])*TblConstr[[#This Row],[CPA Platinum -DB]]*tech_3_3_2*TblTech[[#This Row],[3-3]]</f>
        <v>73562</v>
      </c>
      <c r="I38" s="113">
        <f ca="1">OFFSET(TblProd[[#This Row],[Food]],-1,0)+OFFSET(TblProd[[#This Row],[Food/hr]],-1,0)+ROUNDUP((TblConstr[[#This Row],[Farms]]*80+TblConstr[[#This Row],[Docks]]*35)*(1+OFFSET(TblProd[[#This Row],[Bonus Food/hr]],-1,0)),0)</f>
        <v>73221</v>
      </c>
      <c r="J38" s="113">
        <f ca="1">OFFSET(TblProd[[#This Row],[Lumber]],-1,0)+OFFSET(TblProd[[#This Row],[Lumber/hr]],-1,0) - TblProd[[#This Row],[Expenses Lumber]] + SUM(TblConstr[[#This Row],[Dest Hom]:[Dest Doc]])*TblConstr[[#This Row],[CPA Lumber -DB]]*tech_3_3_2*TblTech[[#This Row],[3-3]]</f>
        <v>30811</v>
      </c>
      <c r="K38" s="113">
        <f ca="1">OFFSET(TblProd[[#This Row],[Mana]],-1,0)+OFFSET(TblProd[[#This Row],[Mana/hr]],-1,0)- TblProd[[#This Row],[Expenses Mana]]</f>
        <v>4863</v>
      </c>
      <c r="L38" s="113">
        <f ca="1">OFFSET(TblProd[[#This Row],[Ore]],-1,0)+OFFSET(TblProd[[#This Row],[Ore/hr]],-1,0) -TblProd[[#This Row],[Expenses Ore]]</f>
        <v>13200</v>
      </c>
      <c r="M38" s="113">
        <f ca="1">OFFSET(TblProd[[#This Row],[Gems]],-1,0)+OFFSET(TblProd[[#This Row],[Gems/hr]],-1,0) - TblProd[[#This Row],[Expenses Gems]]</f>
        <v>0</v>
      </c>
      <c r="N38" s="113">
        <f ca="1">OFFSET(TblProd[[#This Row],[Boats]],-1,0)+OFFSET(TblProd[[#This Row],[Boats/hr]],-1,0)</f>
        <v>11</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750</v>
      </c>
      <c r="Q38" s="113">
        <v>10000</v>
      </c>
      <c r="R38" s="184"/>
      <c r="S38" s="113">
        <f ca="1">ROUNDDOWN(TblProd[[#This Row],[Raw Plat/hr]]*(1+TblProd[[#This Row],[Bonus Plat/hr]]),0)</f>
        <v>17267</v>
      </c>
      <c r="T38" s="113">
        <f ca="1">ROUND(TblProd[[#This Row],[Raw Food/hr]]*(1+TblProd[[#This Row],[Bonus Food/hr]])-TblProd[[#This Row],[Food decay]]-TblProd[[#This Row],[Food eaten]],0)</f>
        <v>1509</v>
      </c>
      <c r="U38" s="113">
        <f ca="1">ROUND(TblProd[[#This Row],[Raw Lumber/hr]]*(1+TblProd[[#This Row],[Bonus Lumber/hr]])-TblProd[[#This Row],[Lumber rot]],0)</f>
        <v>692</v>
      </c>
      <c r="V38" s="113">
        <f ca="1">ROUND(TblProd[[#This Row],[Raw Mana/hr]]*(1+TblProd[[#This Row],[Bonus Mana/hr]])-TblProd[[#This Row],[Mana drain]],0)</f>
        <v>278</v>
      </c>
      <c r="W38" s="113">
        <f ca="1">ROUNDDOWN(TblProd[[#This Row],[Raw Ore/hr]]*(1+TblProd[[#This Row],[Bonux Ore/hr]]),0)</f>
        <v>1200</v>
      </c>
      <c r="X38" s="113">
        <f ca="1">ROUNDDOWN(TblProd[[#This Row],[Raw Gems/hr]]*(1+TblProd[[#This Row],[Bonus Gems/hr]]),0)</f>
        <v>0</v>
      </c>
      <c r="Y38" s="201">
        <f ca="1">OFFSET(TblConstr[[#This Row],[Tot Doc]],1,0)*dock_boats_hr * (1 + tech_4_1*TblTech[[#This Row],[4-1]])</f>
        <v>1</v>
      </c>
      <c r="Z38" s="200"/>
      <c r="AA38" s="113">
        <f ca="1">TblPop[[#This Row],[Peasants]]*tax*TblPop[[#This Row],[Employment]] + (Construction!AZ39+Construction!BX39)*(alch_plat+(Magic!AL38&gt;0)*alchemist_flame_bonus)</f>
        <v>15697.800000000001</v>
      </c>
      <c r="AB38" s="113">
        <f ca="1">TblConstr[[#This Row],[Tot Farm]]*farm_food + TblConstr[[#This Row],[Tot Doc]]*dock_food</f>
        <v>3100</v>
      </c>
      <c r="AC38" s="113">
        <f ca="1">TblConstr[[#This Row],[Tot Ly]]*ly_lumber + TblConstr[[#This Row],[Tot Hav]]*fh_lumber</f>
        <v>1000</v>
      </c>
      <c r="AD38" s="113">
        <f ca="1">OFFSET(TblConstr[[#This Row],[Tot Tow]],1,0)*(tower_mana + tech_4_5*TblTech[[#This Row],[4-5]])</f>
        <v>375</v>
      </c>
      <c r="AE38" s="113">
        <f ca="1">OFFSET(TblConstr[[#This Row],[Tot OM]],1,0)*om_ore+IF(race="Dwarf",ROUNDDOWN(TblMili[[#This Row],[Unit 2]]/2,0),)</f>
        <v>1200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0.1</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732.21</v>
      </c>
      <c r="AP38" s="113">
        <f ca="1">(1+race_food_consumption)*TblPop[[#This Row],[Total]]*food_per_person*(1+tech_1_10*TblTech[[#This Row],[1-10]]+tech_7_5*TblTech[[#This Row],[7-5]])</f>
        <v>1091.75</v>
      </c>
      <c r="AQ38" s="113">
        <f ca="1">TblProd[[#This Row],[Lumber]]*lumber_rot * (1 + tech_2_1*TblTech[[#This Row],[2-1]] + tech_2_8*TblTech[[#This Row],[2-8]] + tech_5_2*TblTech[[#This Row],[5-2]])</f>
        <v>308.11</v>
      </c>
      <c r="AR38" s="113">
        <f ca="1">TblProd[[#This Row],[Mana]]*mana_drain * (1 + tech_2_1*TblTech[[#This Row],[2-1]] + tech_2_8*TblTech[[#This Row],[2-8]])</f>
        <v>97.26</v>
      </c>
      <c r="AS38" s="200"/>
      <c r="AT38" s="113">
        <f ca="1">TblExplore[[#This Row],[Platinum (2)]]+TblConstr[[#This Row],[Total Plat Cost]]+TblMili[[#This Row],[Plat Cost]]+TblRezone[[#This Row],[Platinum cost]]+TblImps[[#This Row],[P1]]-TblProd[[#This Row],[Bank Plat]]</f>
        <v>95712</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44406.166666666584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73562</v>
      </c>
      <c r="BJ38" s="113">
        <f ca="1">TblProd[[#This Row],[Food]]</f>
        <v>73221</v>
      </c>
      <c r="BK38" s="113">
        <f ca="1">TblProd[[#This Row],[Lumber]]</f>
        <v>30811</v>
      </c>
      <c r="BL38" s="113">
        <f ca="1">TblProd[[#This Row],[Mana]]</f>
        <v>4863</v>
      </c>
      <c r="BM38" s="113">
        <f ca="1">TblProd[[#This Row],[Ore]]</f>
        <v>13200</v>
      </c>
    </row>
    <row r="39" spans="1:65" x14ac:dyDescent="0.2">
      <c r="A39" s="178">
        <v>36</v>
      </c>
      <c r="B39" s="198">
        <f ca="1">TblImps[[#This Row],[Time]]</f>
        <v>44406.208333333248</v>
      </c>
      <c r="C39" s="199"/>
      <c r="D39" s="200"/>
      <c r="E39" s="113">
        <f ca="1">TblConstr[[#This Row],[Land]]</f>
        <v>434</v>
      </c>
      <c r="F39" s="113">
        <f ca="1">TblPop[[#This Row],[Peasants]]</f>
        <v>4499</v>
      </c>
      <c r="G39" s="113">
        <f ca="1">TblMili[[#This Row],[Networth (2)]]</f>
        <v>10280</v>
      </c>
      <c r="H39" s="113">
        <f ca="1">OFFSET(TblProd[[#This Row],[Platinum]],-1,0)+OFFSET(TblProd[[#This Row],[Plat/hr]],-1,0) - TblProd[[#This Row],[Expenses Platinum]] + IF(TblProd[[#This Row],[Plat Bonus]],TblPop[[#This Row],[Peasants]]*4) + SUM(TblConstr[[#This Row],[Dest Hom]:[Dest Doc]])*TblConstr[[#This Row],[CPA Platinum -DB]]*tech_3_3_2*TblTech[[#This Row],[3-3]]</f>
        <v>3179</v>
      </c>
      <c r="I39" s="113">
        <f ca="1">OFFSET(TblProd[[#This Row],[Food]],-1,0)+OFFSET(TblProd[[#This Row],[Food/hr]],-1,0)+ROUNDUP((TblConstr[[#This Row],[Farms]]*80+TblConstr[[#This Row],[Docks]]*35)*(1+OFFSET(TblProd[[#This Row],[Bonus Food/hr]],-1,0)),0)</f>
        <v>74730</v>
      </c>
      <c r="J39" s="113">
        <f ca="1">OFFSET(TblProd[[#This Row],[Lumber]],-1,0)+OFFSET(TblProd[[#This Row],[Lumber/hr]],-1,0) - TblProd[[#This Row],[Expenses Lumber]] + SUM(TblConstr[[#This Row],[Dest Hom]:[Dest Doc]])*TblConstr[[#This Row],[CPA Lumber -DB]]*tech_3_3_2*TblTech[[#This Row],[3-3]]</f>
        <v>22593</v>
      </c>
      <c r="K39" s="113">
        <f ca="1">OFFSET(TblProd[[#This Row],[Mana]],-1,0)+OFFSET(TblProd[[#This Row],[Mana/hr]],-1,0)- TblProd[[#This Row],[Expenses Mana]]</f>
        <v>5141</v>
      </c>
      <c r="L39" s="113">
        <f ca="1">OFFSET(TblProd[[#This Row],[Ore]],-1,0)+OFFSET(TblProd[[#This Row],[Ore/hr]],-1,0) -TblProd[[#This Row],[Expenses Ore]]</f>
        <v>14400</v>
      </c>
      <c r="M39" s="113">
        <f ca="1">OFFSET(TblProd[[#This Row],[Gems]],-1,0)+OFFSET(TblProd[[#This Row],[Gems/hr]],-1,0) - TblProd[[#This Row],[Expenses Gems]]</f>
        <v>0</v>
      </c>
      <c r="N39" s="113">
        <f ca="1">OFFSET(TblProd[[#This Row],[Boats]],-1,0)+OFFSET(TblProd[[#This Row],[Boats/hr]],-1,0)</f>
        <v>12</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750</v>
      </c>
      <c r="Q39" s="113">
        <v>10000</v>
      </c>
      <c r="R39" s="184"/>
      <c r="S39" s="113">
        <f ca="1">ROUNDDOWN(TblProd[[#This Row],[Raw Plat/hr]]*(1+TblProd[[#This Row],[Bonus Plat/hr]]),0)</f>
        <v>19252</v>
      </c>
      <c r="T39" s="113">
        <f ca="1">ROUND(TblProd[[#This Row],[Raw Food/hr]]*(1+TblProd[[#This Row],[Bonus Food/hr]])-TblProd[[#This Row],[Food decay]]-TblProd[[#This Row],[Food eaten]],0)</f>
        <v>1447</v>
      </c>
      <c r="U39" s="113">
        <f ca="1">ROUND(TblProd[[#This Row],[Raw Lumber/hr]]*(1+TblProd[[#This Row],[Bonus Lumber/hr]])-TblProd[[#This Row],[Lumber rot]],0)</f>
        <v>774</v>
      </c>
      <c r="V39" s="113">
        <f ca="1">ROUND(TblProd[[#This Row],[Raw Mana/hr]]*(1+TblProd[[#This Row],[Bonus Mana/hr]])-TblProd[[#This Row],[Mana drain]],0)</f>
        <v>272</v>
      </c>
      <c r="W39" s="113">
        <f ca="1">ROUNDDOWN(TblProd[[#This Row],[Raw Ore/hr]]*(1+TblProd[[#This Row],[Bonux Ore/hr]]),0)</f>
        <v>1200</v>
      </c>
      <c r="X39" s="113">
        <f ca="1">ROUNDDOWN(TblProd[[#This Row],[Raw Gems/hr]]*(1+TblProd[[#This Row],[Bonus Gems/hr]]),0)</f>
        <v>0</v>
      </c>
      <c r="Y39" s="201">
        <f ca="1">OFFSET(TblConstr[[#This Row],[Tot Doc]],1,0)*dock_boats_hr * (1 + tech_4_1*TblTech[[#This Row],[4-1]])</f>
        <v>1</v>
      </c>
      <c r="Z39" s="200"/>
      <c r="AA39" s="113">
        <f ca="1">TblPop[[#This Row],[Peasants]]*tax*TblPop[[#This Row],[Employment]] + (Construction!AZ40+Construction!BX40)*(alch_plat+(Magic!AL39&gt;0)*alchemist_flame_bonus)</f>
        <v>17502.300000000003</v>
      </c>
      <c r="AB39" s="113">
        <f ca="1">TblConstr[[#This Row],[Tot Farm]]*farm_food + TblConstr[[#This Row],[Tot Doc]]*dock_food</f>
        <v>3100</v>
      </c>
      <c r="AC39" s="113">
        <f ca="1">TblConstr[[#This Row],[Tot Ly]]*ly_lumber + TblConstr[[#This Row],[Tot Hav]]*fh_lumber</f>
        <v>1000</v>
      </c>
      <c r="AD39" s="113">
        <f ca="1">OFFSET(TblConstr[[#This Row],[Tot Tow]],1,0)*(tower_mana + tech_4_5*TblTech[[#This Row],[4-5]])</f>
        <v>375</v>
      </c>
      <c r="AE39" s="113">
        <f ca="1">OFFSET(TblConstr[[#This Row],[Tot OM]],1,0)*om_ore+IF(race="Dwarf",ROUNDDOWN(TblMili[[#This Row],[Unit 2]]/2,0),)</f>
        <v>1200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0.1</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747.30000000000007</v>
      </c>
      <c r="AP39" s="113">
        <f ca="1">(1+race_food_consumption)*TblPop[[#This Row],[Total]]*food_per_person*(1+tech_1_10*TblTech[[#This Row],[1-10]]+tech_7_5*TblTech[[#This Row],[7-5]])</f>
        <v>1138.25</v>
      </c>
      <c r="AQ39" s="113">
        <f ca="1">TblProd[[#This Row],[Lumber]]*lumber_rot * (1 + tech_2_1*TblTech[[#This Row],[2-1]] + tech_2_8*TblTech[[#This Row],[2-8]] + tech_5_2*TblTech[[#This Row],[5-2]])</f>
        <v>225.93</v>
      </c>
      <c r="AR39" s="113">
        <f ca="1">TblProd[[#This Row],[Mana]]*mana_drain * (1 + tech_2_1*TblTech[[#This Row],[2-1]] + tech_2_8*TblTech[[#This Row],[2-8]])</f>
        <v>102.82000000000001</v>
      </c>
      <c r="AS39" s="200"/>
      <c r="AT39" s="113">
        <f ca="1">TblExplore[[#This Row],[Platinum (2)]]+TblConstr[[#This Row],[Total Plat Cost]]+TblMili[[#This Row],[Plat Cost]]+TblRezone[[#This Row],[Platinum cost]]+TblImps[[#This Row],[P1]]-TblProd[[#This Row],[Bank Plat]]</f>
        <v>87650</v>
      </c>
      <c r="AU39" s="113">
        <f ca="1">TblConstr[[#This Row],[Total Lum Cost]]+TblImps[[#This Row],[L1]]-TblProd[[#This Row],[Bank Lumber]] + Military!$CH$25*TblMili[[#This Row],[Sec. rec. Cost]]</f>
        <v>8910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44406.208333333248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3179</v>
      </c>
      <c r="BJ39" s="113">
        <f ca="1">TblProd[[#This Row],[Food]]</f>
        <v>74730</v>
      </c>
      <c r="BK39" s="113">
        <f ca="1">TblProd[[#This Row],[Lumber]]</f>
        <v>22593</v>
      </c>
      <c r="BL39" s="113">
        <f ca="1">TblProd[[#This Row],[Mana]]</f>
        <v>5141</v>
      </c>
      <c r="BM39" s="113">
        <f ca="1">TblProd[[#This Row],[Ore]]</f>
        <v>14400</v>
      </c>
    </row>
    <row r="40" spans="1:65" x14ac:dyDescent="0.2">
      <c r="A40" s="178">
        <v>37</v>
      </c>
      <c r="B40" s="198">
        <f ca="1">TblImps[[#This Row],[Time]]</f>
        <v>44406.249999999913</v>
      </c>
      <c r="C40" s="199"/>
      <c r="D40" s="200"/>
      <c r="E40" s="113">
        <f ca="1">TblConstr[[#This Row],[Land]]</f>
        <v>434</v>
      </c>
      <c r="F40" s="113">
        <f ca="1">TblPop[[#This Row],[Peasants]]</f>
        <v>4691</v>
      </c>
      <c r="G40" s="113">
        <f ca="1">TblMili[[#This Row],[Networth (2)]]</f>
        <v>10425</v>
      </c>
      <c r="H40" s="113">
        <f ca="1">OFFSET(TblProd[[#This Row],[Platinum]],-1,0)+OFFSET(TblProd[[#This Row],[Plat/hr]],-1,0) - TblProd[[#This Row],[Expenses Platinum]] + IF(TblProd[[#This Row],[Plat Bonus]],TblPop[[#This Row],[Peasants]]*4) + SUM(TblConstr[[#This Row],[Dest Hom]:[Dest Doc]])*TblConstr[[#This Row],[CPA Platinum -DB]]*tech_3_3_2*TblTech[[#This Row],[3-3]]</f>
        <v>9431</v>
      </c>
      <c r="I40" s="113">
        <f ca="1">OFFSET(TblProd[[#This Row],[Food]],-1,0)+OFFSET(TblProd[[#This Row],[Food/hr]],-1,0)+ROUNDUP((TblConstr[[#This Row],[Farms]]*80+TblConstr[[#This Row],[Docks]]*35)*(1+OFFSET(TblProd[[#This Row],[Bonus Food/hr]],-1,0)),0)</f>
        <v>76177</v>
      </c>
      <c r="J40" s="113">
        <f ca="1">OFFSET(TblProd[[#This Row],[Lumber]],-1,0)+OFFSET(TblProd[[#This Row],[Lumber/hr]],-1,0) - TblProd[[#This Row],[Expenses Lumber]] + SUM(TblConstr[[#This Row],[Dest Hom]:[Dest Doc]])*TblConstr[[#This Row],[CPA Lumber -DB]]*tech_3_3_2*TblTech[[#This Row],[3-3]]</f>
        <v>23367</v>
      </c>
      <c r="K40" s="113">
        <f ca="1">OFFSET(TblProd[[#This Row],[Mana]],-1,0)+OFFSET(TblProd[[#This Row],[Mana/hr]],-1,0)- TblProd[[#This Row],[Expenses Mana]]</f>
        <v>5413</v>
      </c>
      <c r="L40" s="113">
        <f ca="1">OFFSET(TblProd[[#This Row],[Ore]],-1,0)+OFFSET(TblProd[[#This Row],[Ore/hr]],-1,0) -TblProd[[#This Row],[Expenses Ore]]</f>
        <v>15600</v>
      </c>
      <c r="M40" s="113">
        <f ca="1">OFFSET(TblProd[[#This Row],[Gems]],-1,0)+OFFSET(TblProd[[#This Row],[Gems/hr]],-1,0) - TblProd[[#This Row],[Expenses Gems]]</f>
        <v>0</v>
      </c>
      <c r="N40" s="113">
        <f ca="1">OFFSET(TblProd[[#This Row],[Boats]],-1,0)+OFFSET(TblProd[[#This Row],[Boats/hr]],-1,0)</f>
        <v>13</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750</v>
      </c>
      <c r="Q40" s="113">
        <v>10000</v>
      </c>
      <c r="R40" s="184"/>
      <c r="S40" s="113">
        <f ca="1">ROUNDDOWN(TblProd[[#This Row],[Raw Plat/hr]]*(1+TblProd[[#This Row],[Bonus Plat/hr]]),0)</f>
        <v>19822</v>
      </c>
      <c r="T40" s="113">
        <f ca="1">ROUND(TblProd[[#This Row],[Raw Food/hr]]*(1+TblProd[[#This Row],[Bonus Food/hr]])-TblProd[[#This Row],[Food decay]]-TblProd[[#This Row],[Food eaten]],0)</f>
        <v>1385</v>
      </c>
      <c r="U40" s="113">
        <f ca="1">ROUND(TblProd[[#This Row],[Raw Lumber/hr]]*(1+TblProd[[#This Row],[Bonus Lumber/hr]])-TblProd[[#This Row],[Lumber rot]],0)</f>
        <v>766</v>
      </c>
      <c r="V40" s="113">
        <f ca="1">ROUND(TblProd[[#This Row],[Raw Mana/hr]]*(1+TblProd[[#This Row],[Bonus Mana/hr]])-TblProd[[#This Row],[Mana drain]],0)</f>
        <v>267</v>
      </c>
      <c r="W40" s="113">
        <f ca="1">ROUNDDOWN(TblProd[[#This Row],[Raw Ore/hr]]*(1+TblProd[[#This Row],[Bonux Ore/hr]]),0)</f>
        <v>1200</v>
      </c>
      <c r="X40" s="113">
        <f ca="1">ROUNDDOWN(TblProd[[#This Row],[Raw Gems/hr]]*(1+TblProd[[#This Row],[Bonus Gems/hr]]),0)</f>
        <v>0</v>
      </c>
      <c r="Y40" s="201">
        <f ca="1">OFFSET(TblConstr[[#This Row],[Tot Doc]],1,0)*dock_boats_hr * (1 + tech_4_1*TblTech[[#This Row],[4-1]])</f>
        <v>1</v>
      </c>
      <c r="Z40" s="200"/>
      <c r="AA40" s="113">
        <f ca="1">TblPop[[#This Row],[Peasants]]*tax*TblPop[[#This Row],[Employment]] + (Construction!AZ41+Construction!BX41)*(alch_plat+(Magic!AL40&gt;0)*alchemist_flame_bonus)</f>
        <v>18020.7</v>
      </c>
      <c r="AB40" s="113">
        <f ca="1">TblConstr[[#This Row],[Tot Farm]]*farm_food + TblConstr[[#This Row],[Tot Doc]]*dock_food</f>
        <v>3100</v>
      </c>
      <c r="AC40" s="113">
        <f ca="1">TblConstr[[#This Row],[Tot Ly]]*ly_lumber + TblConstr[[#This Row],[Tot Hav]]*fh_lumber</f>
        <v>1000</v>
      </c>
      <c r="AD40" s="113">
        <f ca="1">OFFSET(TblConstr[[#This Row],[Tot Tow]],1,0)*(tower_mana + tech_4_5*TblTech[[#This Row],[4-5]])</f>
        <v>375</v>
      </c>
      <c r="AE40" s="113">
        <f ca="1">OFFSET(TblConstr[[#This Row],[Tot OM]],1,0)*om_ore+IF(race="Dwarf",ROUNDDOWN(TblMili[[#This Row],[Unit 2]]/2,0),)</f>
        <v>1200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0.1</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761.77</v>
      </c>
      <c r="AP40" s="113">
        <f ca="1">(1+race_food_consumption)*TblPop[[#This Row],[Total]]*food_per_person*(1+tech_1_10*TblTech[[#This Row],[1-10]]+tech_7_5*TblTech[[#This Row],[7-5]])</f>
        <v>1185.5</v>
      </c>
      <c r="AQ40" s="113">
        <f ca="1">TblProd[[#This Row],[Lumber]]*lumber_rot * (1 + tech_2_1*TblTech[[#This Row],[2-1]] + tech_2_8*TblTech[[#This Row],[2-8]] + tech_5_2*TblTech[[#This Row],[5-2]])</f>
        <v>233.67000000000002</v>
      </c>
      <c r="AR40" s="113">
        <f ca="1">TblProd[[#This Row],[Mana]]*mana_drain * (1 + tech_2_1*TblTech[[#This Row],[2-1]] + tech_2_8*TblTech[[#This Row],[2-8]])</f>
        <v>108.26</v>
      </c>
      <c r="AS40" s="200"/>
      <c r="AT40" s="113">
        <f ca="1">TblExplore[[#This Row],[Platinum (2)]]+TblConstr[[#This Row],[Total Plat Cost]]+TblMili[[#This Row],[Plat Cost]]+TblRezone[[#This Row],[Platinum cost]]+TblImps[[#This Row],[P1]]-TblProd[[#This Row],[Bank Plat]]</f>
        <v>13000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44406.249999999913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9431</v>
      </c>
      <c r="BJ40" s="113">
        <f ca="1">TblProd[[#This Row],[Food]]</f>
        <v>76177</v>
      </c>
      <c r="BK40" s="113">
        <f ca="1">TblProd[[#This Row],[Lumber]]</f>
        <v>23367</v>
      </c>
      <c r="BL40" s="113">
        <f ca="1">TblProd[[#This Row],[Mana]]</f>
        <v>5413</v>
      </c>
      <c r="BM40" s="113">
        <f ca="1">TblProd[[#This Row],[Ore]]</f>
        <v>15600</v>
      </c>
    </row>
    <row r="41" spans="1:65" x14ac:dyDescent="0.2">
      <c r="A41" s="178">
        <v>38</v>
      </c>
      <c r="B41" s="198">
        <f ca="1">TblImps[[#This Row],[Time]]</f>
        <v>44406.291666666577</v>
      </c>
      <c r="C41" s="199"/>
      <c r="D41" s="200"/>
      <c r="E41" s="113">
        <f ca="1">TblConstr[[#This Row],[Land]]</f>
        <v>434</v>
      </c>
      <c r="F41" s="113">
        <f ca="1">TblPop[[#This Row],[Peasants]]</f>
        <v>4892</v>
      </c>
      <c r="G41" s="113">
        <f ca="1">TblMili[[#This Row],[Networth (2)]]</f>
        <v>10425</v>
      </c>
      <c r="H41" s="113">
        <f ca="1">OFFSET(TblProd[[#This Row],[Platinum]],-1,0)+OFFSET(TblProd[[#This Row],[Plat/hr]],-1,0) - TblProd[[#This Row],[Expenses Platinum]] + IF(TblProd[[#This Row],[Plat Bonus]],TblPop[[#This Row],[Peasants]]*4) + SUM(TblConstr[[#This Row],[Dest Hom]:[Dest Doc]])*TblConstr[[#This Row],[CPA Platinum -DB]]*tech_3_3_2*TblTech[[#This Row],[3-3]]</f>
        <v>16253</v>
      </c>
      <c r="I41" s="113">
        <f ca="1">OFFSET(TblProd[[#This Row],[Food]],-1,0)+OFFSET(TblProd[[#This Row],[Food/hr]],-1,0)+ROUNDUP((TblConstr[[#This Row],[Farms]]*80+TblConstr[[#This Row],[Docks]]*35)*(1+OFFSET(TblProd[[#This Row],[Bonus Food/hr]],-1,0)),0)</f>
        <v>77562</v>
      </c>
      <c r="J41" s="113">
        <f ca="1">OFFSET(TblProd[[#This Row],[Lumber]],-1,0)+OFFSET(TblProd[[#This Row],[Lumber/hr]],-1,0) - TblProd[[#This Row],[Expenses Lumber]] + SUM(TblConstr[[#This Row],[Dest Hom]:[Dest Doc]])*TblConstr[[#This Row],[CPA Lumber -DB]]*tech_3_3_2*TblTech[[#This Row],[3-3]]</f>
        <v>24133</v>
      </c>
      <c r="K41" s="113">
        <f ca="1">OFFSET(TblProd[[#This Row],[Mana]],-1,0)+OFFSET(TblProd[[#This Row],[Mana/hr]],-1,0)- TblProd[[#This Row],[Expenses Mana]]</f>
        <v>4595</v>
      </c>
      <c r="L41" s="113">
        <f ca="1">OFFSET(TblProd[[#This Row],[Ore]],-1,0)+OFFSET(TblProd[[#This Row],[Ore/hr]],-1,0) -TblProd[[#This Row],[Expenses Ore]]</f>
        <v>16800</v>
      </c>
      <c r="M41" s="113">
        <f ca="1">OFFSET(TblProd[[#This Row],[Gems]],-1,0)+OFFSET(TblProd[[#This Row],[Gems/hr]],-1,0) - TblProd[[#This Row],[Expenses Gems]]</f>
        <v>0</v>
      </c>
      <c r="N41" s="113">
        <f ca="1">OFFSET(TblProd[[#This Row],[Boats]],-1,0)+OFFSET(TblProd[[#This Row],[Boats/hr]],-1,0)</f>
        <v>14</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750</v>
      </c>
      <c r="Q41" s="113">
        <v>10000</v>
      </c>
      <c r="R41" s="184"/>
      <c r="S41" s="113">
        <f ca="1">ROUNDDOWN(TblProd[[#This Row],[Raw Plat/hr]]*(1+TblProd[[#This Row],[Bonus Plat/hr]]),0)</f>
        <v>20419</v>
      </c>
      <c r="T41" s="113">
        <f ca="1">ROUND(TblProd[[#This Row],[Raw Food/hr]]*(1+TblProd[[#This Row],[Bonus Food/hr]])-TblProd[[#This Row],[Food decay]]-TblProd[[#This Row],[Food eaten]],0)</f>
        <v>1321</v>
      </c>
      <c r="U41" s="113">
        <f ca="1">ROUND(TblProd[[#This Row],[Raw Lumber/hr]]*(1+TblProd[[#This Row],[Bonus Lumber/hr]])-TblProd[[#This Row],[Lumber rot]],0)</f>
        <v>759</v>
      </c>
      <c r="V41" s="113">
        <f ca="1">ROUND(TblProd[[#This Row],[Raw Mana/hr]]*(1+TblProd[[#This Row],[Bonus Mana/hr]])-TblProd[[#This Row],[Mana drain]],0)</f>
        <v>283</v>
      </c>
      <c r="W41" s="113">
        <f ca="1">ROUNDDOWN(TblProd[[#This Row],[Raw Ore/hr]]*(1+TblProd[[#This Row],[Bonux Ore/hr]]),0)</f>
        <v>1200</v>
      </c>
      <c r="X41" s="113">
        <f ca="1">ROUNDDOWN(TblProd[[#This Row],[Raw Gems/hr]]*(1+TblProd[[#This Row],[Bonus Gems/hr]]),0)</f>
        <v>0</v>
      </c>
      <c r="Y41" s="201">
        <f ca="1">OFFSET(TblConstr[[#This Row],[Tot Doc]],1,0)*dock_boats_hr * (1 + tech_4_1*TblTech[[#This Row],[4-1]])</f>
        <v>1</v>
      </c>
      <c r="Z41" s="200"/>
      <c r="AA41" s="113">
        <f ca="1">TblPop[[#This Row],[Peasants]]*tax*TblPop[[#This Row],[Employment]] + (Construction!AZ42+Construction!BX42)*(alch_plat+(Magic!AL41&gt;0)*alchemist_flame_bonus)</f>
        <v>18563.400000000001</v>
      </c>
      <c r="AB41" s="113">
        <f ca="1">TblConstr[[#This Row],[Tot Farm]]*farm_food + TblConstr[[#This Row],[Tot Doc]]*dock_food</f>
        <v>3100</v>
      </c>
      <c r="AC41" s="113">
        <f ca="1">TblConstr[[#This Row],[Tot Ly]]*ly_lumber + TblConstr[[#This Row],[Tot Hav]]*fh_lumber</f>
        <v>1000</v>
      </c>
      <c r="AD41" s="113">
        <f ca="1">OFFSET(TblConstr[[#This Row],[Tot Tow]],1,0)*(tower_mana + tech_4_5*TblTech[[#This Row],[4-5]])</f>
        <v>375</v>
      </c>
      <c r="AE41" s="113">
        <f ca="1">OFFSET(TblConstr[[#This Row],[Tot OM]],1,0)*om_ore+IF(race="Dwarf",ROUNDDOWN(TblMili[[#This Row],[Unit 2]]/2,0),)</f>
        <v>1200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0.1</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775.62</v>
      </c>
      <c r="AP41" s="113">
        <f ca="1">(1+race_food_consumption)*TblPop[[#This Row],[Total]]*food_per_person*(1+tech_1_10*TblTech[[#This Row],[1-10]]+tech_7_5*TblTech[[#This Row],[7-5]])</f>
        <v>1235.5</v>
      </c>
      <c r="AQ41" s="113">
        <f ca="1">TblProd[[#This Row],[Lumber]]*lumber_rot * (1 + tech_2_1*TblTech[[#This Row],[2-1]] + tech_2_8*TblTech[[#This Row],[2-8]] + tech_5_2*TblTech[[#This Row],[5-2]])</f>
        <v>241.33</v>
      </c>
      <c r="AR41" s="113">
        <f ca="1">TblProd[[#This Row],[Mana]]*mana_drain * (1 + tech_2_1*TblTech[[#This Row],[2-1]] + tech_2_8*TblTech[[#This Row],[2-8]])</f>
        <v>91.9</v>
      </c>
      <c r="AS41" s="200"/>
      <c r="AT41" s="113">
        <f ca="1">TblExplore[[#This Row],[Platinum (2)]]+TblConstr[[#This Row],[Total Plat Cost]]+TblMili[[#This Row],[Plat Cost]]+TblRezone[[#This Row],[Platinum cost]]+TblImps[[#This Row],[P1]]-TblProd[[#This Row],[Bank Plat]]</f>
        <v>13000</v>
      </c>
      <c r="AU41" s="113">
        <f ca="1">TblConstr[[#This Row],[Total Lum Cost]]+TblImps[[#This Row],[L1]]-TblProd[[#This Row],[Bank Lumber]] + Military!$CH$25*TblMili[[#This Row],[Sec. rec. Cost]]</f>
        <v>0</v>
      </c>
      <c r="AV41" s="113">
        <f ca="1">TblMagic[[#This Row],[Mana cost]] + Military!$CH$26*TblMili[[#This Row],[Sec. rec. Cost]]</f>
        <v>1085</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44406.291666666577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16253</v>
      </c>
      <c r="BJ41" s="113">
        <f ca="1">TblProd[[#This Row],[Food]]</f>
        <v>77562</v>
      </c>
      <c r="BK41" s="113">
        <f ca="1">TblProd[[#This Row],[Lumber]]</f>
        <v>24133</v>
      </c>
      <c r="BL41" s="113">
        <f ca="1">TblProd[[#This Row],[Mana]]</f>
        <v>4595</v>
      </c>
      <c r="BM41" s="113">
        <f ca="1">TblProd[[#This Row],[Ore]]</f>
        <v>16800</v>
      </c>
    </row>
    <row r="42" spans="1:65" x14ac:dyDescent="0.2">
      <c r="A42" s="178">
        <v>39</v>
      </c>
      <c r="B42" s="198">
        <f ca="1">TblImps[[#This Row],[Time]]</f>
        <v>44406.333333333241</v>
      </c>
      <c r="C42" s="199"/>
      <c r="D42" s="200"/>
      <c r="E42" s="113">
        <f ca="1">TblConstr[[#This Row],[Land]]</f>
        <v>454</v>
      </c>
      <c r="F42" s="113">
        <f ca="1">TblPop[[#This Row],[Peasants]]</f>
        <v>5101</v>
      </c>
      <c r="G42" s="113">
        <f ca="1">TblMili[[#This Row],[Networth (2)]]</f>
        <v>10825</v>
      </c>
      <c r="H42" s="113">
        <f ca="1">OFFSET(TblProd[[#This Row],[Platinum]],-1,0)+OFFSET(TblProd[[#This Row],[Plat/hr]],-1,0) - TblProd[[#This Row],[Expenses Platinum]] + IF(TblProd[[#This Row],[Plat Bonus]],TblPop[[#This Row],[Peasants]]*4) + SUM(TblConstr[[#This Row],[Dest Hom]:[Dest Doc]])*TblConstr[[#This Row],[CPA Platinum -DB]]*tech_3_3_2*TblTech[[#This Row],[3-3]]</f>
        <v>25297</v>
      </c>
      <c r="I42" s="113">
        <f ca="1">OFFSET(TblProd[[#This Row],[Food]],-1,0)+OFFSET(TblProd[[#This Row],[Food/hr]],-1,0)+ROUNDUP((TblConstr[[#This Row],[Farms]]*80+TblConstr[[#This Row],[Docks]]*35)*(1+OFFSET(TblProd[[#This Row],[Bonus Food/hr]],-1,0)),0)</f>
        <v>78883</v>
      </c>
      <c r="J42" s="113">
        <f ca="1">OFFSET(TblProd[[#This Row],[Lumber]],-1,0)+OFFSET(TblProd[[#This Row],[Lumber/hr]],-1,0) - TblProd[[#This Row],[Expenses Lumber]] + SUM(TblConstr[[#This Row],[Dest Hom]:[Dest Doc]])*TblConstr[[#This Row],[CPA Lumber -DB]]*tech_3_3_2*TblTech[[#This Row],[3-3]]</f>
        <v>24892</v>
      </c>
      <c r="K42" s="113">
        <f ca="1">OFFSET(TblProd[[#This Row],[Mana]],-1,0)+OFFSET(TblProd[[#This Row],[Mana/hr]],-1,0)- TblProd[[#This Row],[Expenses Mana]]</f>
        <v>4878</v>
      </c>
      <c r="L42" s="113">
        <f ca="1">OFFSET(TblProd[[#This Row],[Ore]],-1,0)+OFFSET(TblProd[[#This Row],[Ore/hr]],-1,0) -TblProd[[#This Row],[Expenses Ore]]</f>
        <v>18000</v>
      </c>
      <c r="M42" s="113">
        <f ca="1">OFFSET(TblProd[[#This Row],[Gems]],-1,0)+OFFSET(TblProd[[#This Row],[Gems/hr]],-1,0) - TblProd[[#This Row],[Expenses Gems]]</f>
        <v>0</v>
      </c>
      <c r="N42" s="113">
        <f ca="1">OFFSET(TblProd[[#This Row],[Boats]],-1,0)+OFFSET(TblProd[[#This Row],[Boats/hr]],-1,0)</f>
        <v>15</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750</v>
      </c>
      <c r="Q42" s="113">
        <v>10000</v>
      </c>
      <c r="R42" s="184"/>
      <c r="S42" s="113">
        <f ca="1">ROUNDDOWN(TblProd[[#This Row],[Raw Plat/hr]]*(1+TblProd[[#This Row],[Bonus Plat/hr]]),0)</f>
        <v>21040</v>
      </c>
      <c r="T42" s="113">
        <f ca="1">ROUND(TblProd[[#This Row],[Raw Food/hr]]*(1+TblProd[[#This Row],[Bonus Food/hr]])-TblProd[[#This Row],[Food decay]]-TblProd[[#This Row],[Food eaten]],0)</f>
        <v>1254</v>
      </c>
      <c r="U42" s="113">
        <f ca="1">ROUND(TblProd[[#This Row],[Raw Lumber/hr]]*(1+TblProd[[#This Row],[Bonus Lumber/hr]])-TblProd[[#This Row],[Lumber rot]],0)</f>
        <v>751</v>
      </c>
      <c r="V42" s="113">
        <f ca="1">ROUND(TblProd[[#This Row],[Raw Mana/hr]]*(1+TblProd[[#This Row],[Bonus Mana/hr]])-TblProd[[#This Row],[Mana drain]],0)</f>
        <v>277</v>
      </c>
      <c r="W42" s="113">
        <f ca="1">ROUNDDOWN(TblProd[[#This Row],[Raw Ore/hr]]*(1+TblProd[[#This Row],[Bonux Ore/hr]]),0)</f>
        <v>1200</v>
      </c>
      <c r="X42" s="113">
        <f ca="1">ROUNDDOWN(TblProd[[#This Row],[Raw Gems/hr]]*(1+TblProd[[#This Row],[Bonus Gems/hr]]),0)</f>
        <v>0</v>
      </c>
      <c r="Y42" s="201">
        <f ca="1">OFFSET(TblConstr[[#This Row],[Tot Doc]],1,0)*dock_boats_hr * (1 + tech_4_1*TblTech[[#This Row],[4-1]])</f>
        <v>1</v>
      </c>
      <c r="Z42" s="200"/>
      <c r="AA42" s="113">
        <f ca="1">TblPop[[#This Row],[Peasants]]*tax*TblPop[[#This Row],[Employment]] + (Construction!AZ43+Construction!BX43)*(alch_plat+(Magic!AL42&gt;0)*alchemist_flame_bonus)</f>
        <v>19127.7</v>
      </c>
      <c r="AB42" s="113">
        <f ca="1">TblConstr[[#This Row],[Tot Farm]]*farm_food + TblConstr[[#This Row],[Tot Doc]]*dock_food</f>
        <v>3100</v>
      </c>
      <c r="AC42" s="113">
        <f ca="1">TblConstr[[#This Row],[Tot Ly]]*ly_lumber + TblConstr[[#This Row],[Tot Hav]]*fh_lumber</f>
        <v>1000</v>
      </c>
      <c r="AD42" s="113">
        <f ca="1">OFFSET(TblConstr[[#This Row],[Tot Tow]],1,0)*(tower_mana + tech_4_5*TblTech[[#This Row],[4-5]])</f>
        <v>375</v>
      </c>
      <c r="AE42" s="113">
        <f ca="1">OFFSET(TblConstr[[#This Row],[Tot OM]],1,0)*om_ore+IF(race="Dwarf",ROUNDDOWN(TblMili[[#This Row],[Unit 2]]/2,0),)</f>
        <v>1200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0.1</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788.83</v>
      </c>
      <c r="AP42" s="113">
        <f ca="1">(1+race_food_consumption)*TblPop[[#This Row],[Total]]*food_per_person*(1+tech_1_10*TblTech[[#This Row],[1-10]]+tech_7_5*TblTech[[#This Row],[7-5]])</f>
        <v>1289.5</v>
      </c>
      <c r="AQ42" s="113">
        <f ca="1">TblProd[[#This Row],[Lumber]]*lumber_rot * (1 + tech_2_1*TblTech[[#This Row],[2-1]] + tech_2_8*TblTech[[#This Row],[2-8]] + tech_5_2*TblTech[[#This Row],[5-2]])</f>
        <v>248.92000000000002</v>
      </c>
      <c r="AR42" s="113">
        <f ca="1">TblProd[[#This Row],[Mana]]*mana_drain * (1 + tech_2_1*TblTech[[#This Row],[2-1]] + tech_2_8*TblTech[[#This Row],[2-8]])</f>
        <v>97.56</v>
      </c>
      <c r="AS42" s="200"/>
      <c r="AT42" s="113">
        <f ca="1">TblExplore[[#This Row],[Platinum (2)]]+TblConstr[[#This Row],[Total Plat Cost]]+TblMili[[#This Row],[Plat Cost]]+TblRezone[[#This Row],[Platinum cost]]+TblImps[[#This Row],[P1]]-TblProd[[#This Row],[Bank Plat]]</f>
        <v>11375</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44406.333333333241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25297</v>
      </c>
      <c r="BJ42" s="113">
        <f ca="1">TblProd[[#This Row],[Food]]</f>
        <v>78883</v>
      </c>
      <c r="BK42" s="113">
        <f ca="1">TblProd[[#This Row],[Lumber]]</f>
        <v>24892</v>
      </c>
      <c r="BL42" s="113">
        <f ca="1">TblProd[[#This Row],[Mana]]</f>
        <v>4878</v>
      </c>
      <c r="BM42" s="113">
        <f ca="1">TblProd[[#This Row],[Ore]]</f>
        <v>18000</v>
      </c>
    </row>
    <row r="43" spans="1:65" x14ac:dyDescent="0.2">
      <c r="A43" s="178">
        <v>40</v>
      </c>
      <c r="B43" s="198">
        <f ca="1">TblImps[[#This Row],[Time]]</f>
        <v>44406.374999999905</v>
      </c>
      <c r="C43" s="199"/>
      <c r="D43" s="200"/>
      <c r="E43" s="113">
        <f ca="1">TblConstr[[#This Row],[Land]]</f>
        <v>454</v>
      </c>
      <c r="F43" s="113">
        <f ca="1">TblPop[[#This Row],[Peasants]]</f>
        <v>5317</v>
      </c>
      <c r="G43" s="113">
        <f ca="1">TblMili[[#This Row],[Networth (2)]]</f>
        <v>10825</v>
      </c>
      <c r="H43" s="113">
        <f ca="1">OFFSET(TblProd[[#This Row],[Platinum]],-1,0)+OFFSET(TblProd[[#This Row],[Plat/hr]],-1,0) - TblProd[[#This Row],[Expenses Platinum]] + IF(TblProd[[#This Row],[Plat Bonus]],TblPop[[#This Row],[Peasants]]*4) + SUM(TblConstr[[#This Row],[Dest Hom]:[Dest Doc]])*TblConstr[[#This Row],[CPA Platinum -DB]]*tech_3_3_2*TblTech[[#This Row],[3-3]]</f>
        <v>34417</v>
      </c>
      <c r="I43" s="113">
        <f ca="1">OFFSET(TblProd[[#This Row],[Food]],-1,0)+OFFSET(TblProd[[#This Row],[Food/hr]],-1,0)+ROUNDUP((TblConstr[[#This Row],[Farms]]*80+TblConstr[[#This Row],[Docks]]*35)*(1+OFFSET(TblProd[[#This Row],[Bonus Food/hr]],-1,0)),0)</f>
        <v>80137</v>
      </c>
      <c r="J43" s="113">
        <f ca="1">OFFSET(TblProd[[#This Row],[Lumber]],-1,0)+OFFSET(TblProd[[#This Row],[Lumber/hr]],-1,0) - TblProd[[#This Row],[Expenses Lumber]] + SUM(TblConstr[[#This Row],[Dest Hom]:[Dest Doc]])*TblConstr[[#This Row],[CPA Lumber -DB]]*tech_3_3_2*TblTech[[#This Row],[3-3]]</f>
        <v>24223</v>
      </c>
      <c r="K43" s="113">
        <f ca="1">OFFSET(TblProd[[#This Row],[Mana]],-1,0)+OFFSET(TblProd[[#This Row],[Mana/hr]],-1,0)- TblProd[[#This Row],[Expenses Mana]]</f>
        <v>4020</v>
      </c>
      <c r="L43" s="113">
        <f ca="1">OFFSET(TblProd[[#This Row],[Ore]],-1,0)+OFFSET(TblProd[[#This Row],[Ore/hr]],-1,0) -TblProd[[#This Row],[Expenses Ore]]</f>
        <v>19200</v>
      </c>
      <c r="M43" s="113">
        <f ca="1">OFFSET(TblProd[[#This Row],[Gems]],-1,0)+OFFSET(TblProd[[#This Row],[Gems/hr]],-1,0) - TblProd[[#This Row],[Expenses Gems]]</f>
        <v>0</v>
      </c>
      <c r="N43" s="113">
        <f ca="1">OFFSET(TblProd[[#This Row],[Boats]],-1,0)+OFFSET(TblProd[[#This Row],[Boats/hr]],-1,0)</f>
        <v>16</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750</v>
      </c>
      <c r="Q43" s="113">
        <v>10000</v>
      </c>
      <c r="R43" s="184"/>
      <c r="S43" s="113">
        <f ca="1">ROUNDDOWN(TblProd[[#This Row],[Raw Plat/hr]]*(1+TblProd[[#This Row],[Bonus Plat/hr]]),0)</f>
        <v>21681</v>
      </c>
      <c r="T43" s="113">
        <f ca="1">ROUND(TblProd[[#This Row],[Raw Food/hr]]*(1+TblProd[[#This Row],[Bonus Food/hr]])-TblProd[[#This Row],[Food decay]]-TblProd[[#This Row],[Food eaten]],0)</f>
        <v>1175</v>
      </c>
      <c r="U43" s="113">
        <f ca="1">ROUND(TblProd[[#This Row],[Raw Lumber/hr]]*(1+TblProd[[#This Row],[Bonus Lumber/hr]])-TblProd[[#This Row],[Lumber rot]],0)</f>
        <v>758</v>
      </c>
      <c r="V43" s="113">
        <f ca="1">ROUND(TblProd[[#This Row],[Raw Mana/hr]]*(1+TblProd[[#This Row],[Bonus Mana/hr]])-TblProd[[#This Row],[Mana drain]],0)</f>
        <v>295</v>
      </c>
      <c r="W43" s="113">
        <f ca="1">ROUNDDOWN(TblProd[[#This Row],[Raw Ore/hr]]*(1+TblProd[[#This Row],[Bonux Ore/hr]]),0)</f>
        <v>1200</v>
      </c>
      <c r="X43" s="113">
        <f ca="1">ROUNDDOWN(TblProd[[#This Row],[Raw Gems/hr]]*(1+TblProd[[#This Row],[Bonus Gems/hr]]),0)</f>
        <v>0</v>
      </c>
      <c r="Y43" s="201">
        <f ca="1">OFFSET(TblConstr[[#This Row],[Tot Doc]],1,0)*dock_boats_hr * (1 + tech_4_1*TblTech[[#This Row],[4-1]])</f>
        <v>1</v>
      </c>
      <c r="Z43" s="200"/>
      <c r="AA43" s="113">
        <f ca="1">TblPop[[#This Row],[Peasants]]*tax*TblPop[[#This Row],[Employment]] + (Construction!AZ44+Construction!BX44)*(alch_plat+(Magic!AL43&gt;0)*alchemist_flame_bonus)</f>
        <v>19710.900000000001</v>
      </c>
      <c r="AB43" s="113">
        <f ca="1">TblConstr[[#This Row],[Tot Farm]]*farm_food + TblConstr[[#This Row],[Tot Doc]]*dock_food</f>
        <v>3100</v>
      </c>
      <c r="AC43" s="113">
        <f ca="1">TblConstr[[#This Row],[Tot Ly]]*ly_lumber + TblConstr[[#This Row],[Tot Hav]]*fh_lumber</f>
        <v>1000</v>
      </c>
      <c r="AD43" s="113">
        <f ca="1">OFFSET(TblConstr[[#This Row],[Tot Tow]],1,0)*(tower_mana + tech_4_5*TblTech[[#This Row],[4-5]])</f>
        <v>375</v>
      </c>
      <c r="AE43" s="113">
        <f ca="1">OFFSET(TblConstr[[#This Row],[Tot OM]],1,0)*om_ore+IF(race="Dwarf",ROUNDDOWN(TblMili[[#This Row],[Unit 2]]/2,0),)</f>
        <v>1200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0.1</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801.37</v>
      </c>
      <c r="AP43" s="113">
        <f ca="1">(1+race_food_consumption)*TblPop[[#This Row],[Total]]*food_per_person*(1+tech_1_10*TblTech[[#This Row],[1-10]]+tech_7_5*TblTech[[#This Row],[7-5]])</f>
        <v>1356.25</v>
      </c>
      <c r="AQ43" s="113">
        <f ca="1">TblProd[[#This Row],[Lumber]]*lumber_rot * (1 + tech_2_1*TblTech[[#This Row],[2-1]] + tech_2_8*TblTech[[#This Row],[2-8]] + tech_5_2*TblTech[[#This Row],[5-2]])</f>
        <v>242.23000000000002</v>
      </c>
      <c r="AR43" s="113">
        <f ca="1">TblProd[[#This Row],[Mana]]*mana_drain * (1 + tech_2_1*TblTech[[#This Row],[2-1]] + tech_2_8*TblTech[[#This Row],[2-8]])</f>
        <v>80.400000000000006</v>
      </c>
      <c r="AS43" s="200"/>
      <c r="AT43" s="113">
        <f ca="1">TblExplore[[#This Row],[Platinum (2)]]+TblConstr[[#This Row],[Total Plat Cost]]+TblMili[[#This Row],[Plat Cost]]+TblRezone[[#This Row],[Platinum cost]]+TblImps[[#This Row],[P1]]-TblProd[[#This Row],[Bank Plat]]</f>
        <v>11920</v>
      </c>
      <c r="AU43" s="113">
        <f ca="1">TblConstr[[#This Row],[Total Lum Cost]]+TblImps[[#This Row],[L1]]-TblProd[[#This Row],[Bank Lumber]] + Military!$CH$25*TblMili[[#This Row],[Sec. rec. Cost]]</f>
        <v>1420</v>
      </c>
      <c r="AV43" s="113">
        <f ca="1">TblMagic[[#This Row],[Mana cost]] + Military!$CH$26*TblMili[[#This Row],[Sec. rec. Cost]]</f>
        <v>1135</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44406.374999999905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34417</v>
      </c>
      <c r="BJ43" s="113">
        <f ca="1">TblProd[[#This Row],[Food]]</f>
        <v>80137</v>
      </c>
      <c r="BK43" s="113">
        <f ca="1">TblProd[[#This Row],[Lumber]]</f>
        <v>24223</v>
      </c>
      <c r="BL43" s="113">
        <f ca="1">TblProd[[#This Row],[Mana]]</f>
        <v>4020</v>
      </c>
      <c r="BM43" s="113">
        <f ca="1">TblProd[[#This Row],[Ore]]</f>
        <v>19200</v>
      </c>
    </row>
    <row r="44" spans="1:65" x14ac:dyDescent="0.2">
      <c r="A44" s="178">
        <v>41</v>
      </c>
      <c r="B44" s="198">
        <f ca="1">TblImps[[#This Row],[Time]]</f>
        <v>44406.41666666657</v>
      </c>
      <c r="C44" s="199"/>
      <c r="D44" s="200"/>
      <c r="E44" s="113">
        <f ca="1">TblConstr[[#This Row],[Land]]</f>
        <v>454</v>
      </c>
      <c r="F44" s="113">
        <f ca="1">TblPop[[#This Row],[Peasants]]</f>
        <v>5543</v>
      </c>
      <c r="G44" s="113">
        <f ca="1">TblMili[[#This Row],[Networth (2)]]</f>
        <v>10825</v>
      </c>
      <c r="H44" s="113">
        <f ca="1">OFFSET(TblProd[[#This Row],[Platinum]],-1,0)+OFFSET(TblProd[[#This Row],[Plat/hr]],-1,0) - TblProd[[#This Row],[Expenses Platinum]] + IF(TblProd[[#This Row],[Plat Bonus]],TblPop[[#This Row],[Peasants]]*4) + SUM(TblConstr[[#This Row],[Dest Hom]:[Dest Doc]])*TblConstr[[#This Row],[CPA Platinum -DB]]*tech_3_3_2*TblTech[[#This Row],[3-3]]</f>
        <v>56098</v>
      </c>
      <c r="I44" s="113">
        <f ca="1">OFFSET(TblProd[[#This Row],[Food]],-1,0)+OFFSET(TblProd[[#This Row],[Food/hr]],-1,0)+ROUNDUP((TblConstr[[#This Row],[Farms]]*80+TblConstr[[#This Row],[Docks]]*35)*(1+OFFSET(TblProd[[#This Row],[Bonus Food/hr]],-1,0)),0)</f>
        <v>81312</v>
      </c>
      <c r="J44" s="113">
        <f ca="1">OFFSET(TblProd[[#This Row],[Lumber]],-1,0)+OFFSET(TblProd[[#This Row],[Lumber/hr]],-1,0) - TblProd[[#This Row],[Expenses Lumber]] + SUM(TblConstr[[#This Row],[Dest Hom]:[Dest Doc]])*TblConstr[[#This Row],[CPA Lumber -DB]]*tech_3_3_2*TblTech[[#This Row],[3-3]]</f>
        <v>24981</v>
      </c>
      <c r="K44" s="113">
        <f ca="1">OFFSET(TblProd[[#This Row],[Mana]],-1,0)+OFFSET(TblProd[[#This Row],[Mana/hr]],-1,0)- TblProd[[#This Row],[Expenses Mana]]</f>
        <v>4315</v>
      </c>
      <c r="L44" s="113">
        <f ca="1">OFFSET(TblProd[[#This Row],[Ore]],-1,0)+OFFSET(TblProd[[#This Row],[Ore/hr]],-1,0) -TblProd[[#This Row],[Expenses Ore]]</f>
        <v>20400</v>
      </c>
      <c r="M44" s="113">
        <f ca="1">OFFSET(TblProd[[#This Row],[Gems]],-1,0)+OFFSET(TblProd[[#This Row],[Gems/hr]],-1,0) - TblProd[[#This Row],[Expenses Gems]]</f>
        <v>0</v>
      </c>
      <c r="N44" s="113">
        <f ca="1">OFFSET(TblProd[[#This Row],[Boats]],-1,0)+OFFSET(TblProd[[#This Row],[Boats/hr]],-1,0)</f>
        <v>17</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750</v>
      </c>
      <c r="Q44" s="113">
        <v>10000</v>
      </c>
      <c r="R44" s="184"/>
      <c r="S44" s="113">
        <f ca="1">ROUNDDOWN(TblProd[[#This Row],[Raw Plat/hr]]*(1+TblProd[[#This Row],[Bonus Plat/hr]]),0)</f>
        <v>22353</v>
      </c>
      <c r="T44" s="113">
        <f ca="1">ROUND(TblProd[[#This Row],[Raw Food/hr]]*(1+TblProd[[#This Row],[Bonus Food/hr]])-TblProd[[#This Row],[Food decay]]-TblProd[[#This Row],[Food eaten]],0)</f>
        <v>1093</v>
      </c>
      <c r="U44" s="113">
        <f ca="1">ROUND(TblProd[[#This Row],[Raw Lumber/hr]]*(1+TblProd[[#This Row],[Bonus Lumber/hr]])-TblProd[[#This Row],[Lumber rot]],0)</f>
        <v>750</v>
      </c>
      <c r="V44" s="113">
        <f ca="1">ROUND(TblProd[[#This Row],[Raw Mana/hr]]*(1+TblProd[[#This Row],[Bonus Mana/hr]])-TblProd[[#This Row],[Mana drain]],0)</f>
        <v>289</v>
      </c>
      <c r="W44" s="113">
        <f ca="1">ROUNDDOWN(TblProd[[#This Row],[Raw Ore/hr]]*(1+TblProd[[#This Row],[Bonux Ore/hr]]),0)</f>
        <v>1200</v>
      </c>
      <c r="X44" s="113">
        <f ca="1">ROUNDDOWN(TblProd[[#This Row],[Raw Gems/hr]]*(1+TblProd[[#This Row],[Bonus Gems/hr]]),0)</f>
        <v>0</v>
      </c>
      <c r="Y44" s="201">
        <f ca="1">OFFSET(TblConstr[[#This Row],[Tot Doc]],1,0)*dock_boats_hr * (1 + tech_4_1*TblTech[[#This Row],[4-1]])</f>
        <v>1</v>
      </c>
      <c r="Z44" s="200"/>
      <c r="AA44" s="113">
        <f ca="1">TblPop[[#This Row],[Peasants]]*tax*TblPop[[#This Row],[Employment]] + (Construction!AZ45+Construction!BX45)*(alch_plat+(Magic!AL44&gt;0)*alchemist_flame_bonus)</f>
        <v>20321.099999999999</v>
      </c>
      <c r="AB44" s="113">
        <f ca="1">TblConstr[[#This Row],[Tot Farm]]*farm_food + TblConstr[[#This Row],[Tot Doc]]*dock_food</f>
        <v>3100</v>
      </c>
      <c r="AC44" s="113">
        <f ca="1">TblConstr[[#This Row],[Tot Ly]]*ly_lumber + TblConstr[[#This Row],[Tot Hav]]*fh_lumber</f>
        <v>1000</v>
      </c>
      <c r="AD44" s="113">
        <f ca="1">OFFSET(TblConstr[[#This Row],[Tot Tow]],1,0)*(tower_mana + tech_4_5*TblTech[[#This Row],[4-5]])</f>
        <v>375</v>
      </c>
      <c r="AE44" s="113">
        <f ca="1">OFFSET(TblConstr[[#This Row],[Tot OM]],1,0)*om_ore+IF(race="Dwarf",ROUNDDOWN(TblMili[[#This Row],[Unit 2]]/2,0),)</f>
        <v>1200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0.1</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813.12</v>
      </c>
      <c r="AP44" s="113">
        <f ca="1">(1+race_food_consumption)*TblPop[[#This Row],[Total]]*food_per_person*(1+tech_1_10*TblTech[[#This Row],[1-10]]+tech_7_5*TblTech[[#This Row],[7-5]])</f>
        <v>1426</v>
      </c>
      <c r="AQ44" s="113">
        <f ca="1">TblProd[[#This Row],[Lumber]]*lumber_rot * (1 + tech_2_1*TblTech[[#This Row],[2-1]] + tech_2_8*TblTech[[#This Row],[2-8]] + tech_5_2*TblTech[[#This Row],[5-2]])</f>
        <v>249.81</v>
      </c>
      <c r="AR44" s="113">
        <f ca="1">TblProd[[#This Row],[Mana]]*mana_drain * (1 + tech_2_1*TblTech[[#This Row],[2-1]] + tech_2_8*TblTech[[#This Row],[2-8]])</f>
        <v>86.3</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44406.41666666657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56098</v>
      </c>
      <c r="BJ44" s="113">
        <f ca="1">TblProd[[#This Row],[Food]]</f>
        <v>81312</v>
      </c>
      <c r="BK44" s="113">
        <f ca="1">TblProd[[#This Row],[Lumber]]</f>
        <v>24981</v>
      </c>
      <c r="BL44" s="113">
        <f ca="1">TblProd[[#This Row],[Mana]]</f>
        <v>4315</v>
      </c>
      <c r="BM44" s="113">
        <f ca="1">TblProd[[#This Row],[Ore]]</f>
        <v>20400</v>
      </c>
    </row>
    <row r="45" spans="1:65" x14ac:dyDescent="0.2">
      <c r="A45" s="178">
        <v>42</v>
      </c>
      <c r="B45" s="198">
        <f ca="1">TblImps[[#This Row],[Time]]</f>
        <v>44406.458333333234</v>
      </c>
      <c r="C45" s="199"/>
      <c r="D45" s="200"/>
      <c r="E45" s="113">
        <f ca="1">TblConstr[[#This Row],[Land]]</f>
        <v>454</v>
      </c>
      <c r="F45" s="113">
        <f ca="1">TblPop[[#This Row],[Peasants]]</f>
        <v>5778</v>
      </c>
      <c r="G45" s="113">
        <f ca="1">TblMili[[#This Row],[Networth (2)]]</f>
        <v>10825</v>
      </c>
      <c r="H45" s="113">
        <f ca="1">OFFSET(TblProd[[#This Row],[Platinum]],-1,0)+OFFSET(TblProd[[#This Row],[Plat/hr]],-1,0) - TblProd[[#This Row],[Expenses Platinum]] + IF(TblProd[[#This Row],[Plat Bonus]],TblPop[[#This Row],[Peasants]]*4) + SUM(TblConstr[[#This Row],[Dest Hom]:[Dest Doc]])*TblConstr[[#This Row],[CPA Platinum -DB]]*tech_3_3_2*TblTech[[#This Row],[3-3]]</f>
        <v>78451</v>
      </c>
      <c r="I45" s="113">
        <f ca="1">OFFSET(TblProd[[#This Row],[Food]],-1,0)+OFFSET(TblProd[[#This Row],[Food/hr]],-1,0)+ROUNDUP((TblConstr[[#This Row],[Farms]]*80+TblConstr[[#This Row],[Docks]]*35)*(1+OFFSET(TblProd[[#This Row],[Bonus Food/hr]],-1,0)),0)</f>
        <v>82405</v>
      </c>
      <c r="J45" s="113">
        <f ca="1">OFFSET(TblProd[[#This Row],[Lumber]],-1,0)+OFFSET(TblProd[[#This Row],[Lumber/hr]],-1,0) - TblProd[[#This Row],[Expenses Lumber]] + SUM(TblConstr[[#This Row],[Dest Hom]:[Dest Doc]])*TblConstr[[#This Row],[CPA Lumber -DB]]*tech_3_3_2*TblTech[[#This Row],[3-3]]</f>
        <v>25731</v>
      </c>
      <c r="K45" s="113">
        <f ca="1">OFFSET(TblProd[[#This Row],[Mana]],-1,0)+OFFSET(TblProd[[#This Row],[Mana/hr]],-1,0)- TblProd[[#This Row],[Expenses Mana]]</f>
        <v>4604</v>
      </c>
      <c r="L45" s="113">
        <f ca="1">OFFSET(TblProd[[#This Row],[Ore]],-1,0)+OFFSET(TblProd[[#This Row],[Ore/hr]],-1,0) -TblProd[[#This Row],[Expenses Ore]]</f>
        <v>21600</v>
      </c>
      <c r="M45" s="113">
        <f ca="1">OFFSET(TblProd[[#This Row],[Gems]],-1,0)+OFFSET(TblProd[[#This Row],[Gems/hr]],-1,0) - TblProd[[#This Row],[Expenses Gems]]</f>
        <v>0</v>
      </c>
      <c r="N45" s="113">
        <f ca="1">OFFSET(TblProd[[#This Row],[Boats]],-1,0)+OFFSET(TblProd[[#This Row],[Boats/hr]],-1,0)</f>
        <v>18</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750</v>
      </c>
      <c r="Q45" s="113">
        <v>10000</v>
      </c>
      <c r="R45" s="184"/>
      <c r="S45" s="113">
        <f ca="1">ROUNDDOWN(TblProd[[#This Row],[Raw Plat/hr]]*(1+TblProd[[#This Row],[Bonus Plat/hr]]),0)</f>
        <v>23051</v>
      </c>
      <c r="T45" s="113">
        <f ca="1">ROUND(TblProd[[#This Row],[Raw Food/hr]]*(1+TblProd[[#This Row],[Bonus Food/hr]])-TblProd[[#This Row],[Food decay]]-TblProd[[#This Row],[Food eaten]],0)</f>
        <v>1010</v>
      </c>
      <c r="U45" s="113">
        <f ca="1">ROUND(TblProd[[#This Row],[Raw Lumber/hr]]*(1+TblProd[[#This Row],[Bonus Lumber/hr]])-TblProd[[#This Row],[Lumber rot]],0)</f>
        <v>743</v>
      </c>
      <c r="V45" s="113">
        <f ca="1">ROUND(TblProd[[#This Row],[Raw Mana/hr]]*(1+TblProd[[#This Row],[Bonus Mana/hr]])-TblProd[[#This Row],[Mana drain]],0)</f>
        <v>283</v>
      </c>
      <c r="W45" s="113">
        <f ca="1">ROUNDDOWN(TblProd[[#This Row],[Raw Ore/hr]]*(1+TblProd[[#This Row],[Bonux Ore/hr]]),0)</f>
        <v>1200</v>
      </c>
      <c r="X45" s="113">
        <f ca="1">ROUNDDOWN(TblProd[[#This Row],[Raw Gems/hr]]*(1+TblProd[[#This Row],[Bonus Gems/hr]]),0)</f>
        <v>0</v>
      </c>
      <c r="Y45" s="201">
        <f ca="1">OFFSET(TblConstr[[#This Row],[Tot Doc]],1,0)*dock_boats_hr * (1 + tech_4_1*TblTech[[#This Row],[4-1]])</f>
        <v>1</v>
      </c>
      <c r="Z45" s="200"/>
      <c r="AA45" s="113">
        <f ca="1">TblPop[[#This Row],[Peasants]]*tax*TblPop[[#This Row],[Employment]] + (Construction!AZ46+Construction!BX46)*(alch_plat+(Magic!AL45&gt;0)*alchemist_flame_bonus)</f>
        <v>20955.599999999999</v>
      </c>
      <c r="AB45" s="113">
        <f ca="1">TblConstr[[#This Row],[Tot Farm]]*farm_food + TblConstr[[#This Row],[Tot Doc]]*dock_food</f>
        <v>3100</v>
      </c>
      <c r="AC45" s="113">
        <f ca="1">TblConstr[[#This Row],[Tot Ly]]*ly_lumber + TblConstr[[#This Row],[Tot Hav]]*fh_lumber</f>
        <v>1000</v>
      </c>
      <c r="AD45" s="113">
        <f ca="1">OFFSET(TblConstr[[#This Row],[Tot Tow]],1,0)*(tower_mana + tech_4_5*TblTech[[#This Row],[4-5]])</f>
        <v>375</v>
      </c>
      <c r="AE45" s="113">
        <f ca="1">OFFSET(TblConstr[[#This Row],[Tot OM]],1,0)*om_ore+IF(race="Dwarf",ROUNDDOWN(TblMili[[#This Row],[Unit 2]]/2,0),)</f>
        <v>1200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0.1</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824.05000000000007</v>
      </c>
      <c r="AP45" s="113">
        <f ca="1">(1+race_food_consumption)*TblPop[[#This Row],[Total]]*food_per_person*(1+tech_1_10*TblTech[[#This Row],[1-10]]+tech_7_5*TblTech[[#This Row],[7-5]])</f>
        <v>1498.5</v>
      </c>
      <c r="AQ45" s="113">
        <f ca="1">TblProd[[#This Row],[Lumber]]*lumber_rot * (1 + tech_2_1*TblTech[[#This Row],[2-1]] + tech_2_8*TblTech[[#This Row],[2-8]] + tech_5_2*TblTech[[#This Row],[5-2]])</f>
        <v>257.31</v>
      </c>
      <c r="AR45" s="113">
        <f ca="1">TblProd[[#This Row],[Mana]]*mana_drain * (1 + tech_2_1*TblTech[[#This Row],[2-1]] + tech_2_8*TblTech[[#This Row],[2-8]])</f>
        <v>92.08</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44406.458333333234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78451</v>
      </c>
      <c r="BJ45" s="113">
        <f ca="1">TblProd[[#This Row],[Food]]</f>
        <v>82405</v>
      </c>
      <c r="BK45" s="113">
        <f ca="1">TblProd[[#This Row],[Lumber]]</f>
        <v>25731</v>
      </c>
      <c r="BL45" s="113">
        <f ca="1">TblProd[[#This Row],[Mana]]</f>
        <v>4604</v>
      </c>
      <c r="BM45" s="113">
        <f ca="1">TblProd[[#This Row],[Ore]]</f>
        <v>21600</v>
      </c>
    </row>
    <row r="46" spans="1:65" x14ac:dyDescent="0.2">
      <c r="A46" s="178">
        <v>43</v>
      </c>
      <c r="B46" s="198">
        <f ca="1">TblImps[[#This Row],[Time]]</f>
        <v>44406.499999999898</v>
      </c>
      <c r="C46" s="199"/>
      <c r="D46" s="200"/>
      <c r="E46" s="113">
        <f ca="1">TblConstr[[#This Row],[Land]]</f>
        <v>454</v>
      </c>
      <c r="F46" s="113">
        <f ca="1">TblPop[[#This Row],[Peasants]]</f>
        <v>6023</v>
      </c>
      <c r="G46" s="113">
        <f ca="1">TblMili[[#This Row],[Networth (2)]]</f>
        <v>10825</v>
      </c>
      <c r="H46" s="113">
        <f ca="1">OFFSET(TblProd[[#This Row],[Platinum]],-1,0)+OFFSET(TblProd[[#This Row],[Plat/hr]],-1,0) - TblProd[[#This Row],[Expenses Platinum]] + IF(TblProd[[#This Row],[Plat Bonus]],TblPop[[#This Row],[Peasants]]*4) + SUM(TblConstr[[#This Row],[Dest Hom]:[Dest Doc]])*TblConstr[[#This Row],[CPA Platinum -DB]]*tech_3_3_2*TblTech[[#This Row],[3-3]]</f>
        <v>101502</v>
      </c>
      <c r="I46" s="113">
        <f ca="1">OFFSET(TblProd[[#This Row],[Food]],-1,0)+OFFSET(TblProd[[#This Row],[Food/hr]],-1,0)+ROUNDUP((TblConstr[[#This Row],[Farms]]*80+TblConstr[[#This Row],[Docks]]*35)*(1+OFFSET(TblProd[[#This Row],[Bonus Food/hr]],-1,0)),0)</f>
        <v>83415</v>
      </c>
      <c r="J46" s="113">
        <f ca="1">OFFSET(TblProd[[#This Row],[Lumber]],-1,0)+OFFSET(TblProd[[#This Row],[Lumber/hr]],-1,0) - TblProd[[#This Row],[Expenses Lumber]] + SUM(TblConstr[[#This Row],[Dest Hom]:[Dest Doc]])*TblConstr[[#This Row],[CPA Lumber -DB]]*tech_3_3_2*TblTech[[#This Row],[3-3]]</f>
        <v>26474</v>
      </c>
      <c r="K46" s="113">
        <f ca="1">OFFSET(TblProd[[#This Row],[Mana]],-1,0)+OFFSET(TblProd[[#This Row],[Mana/hr]],-1,0)- TblProd[[#This Row],[Expenses Mana]]</f>
        <v>4887</v>
      </c>
      <c r="L46" s="113">
        <f ca="1">OFFSET(TblProd[[#This Row],[Ore]],-1,0)+OFFSET(TblProd[[#This Row],[Ore/hr]],-1,0) -TblProd[[#This Row],[Expenses Ore]]</f>
        <v>22800</v>
      </c>
      <c r="M46" s="113">
        <f ca="1">OFFSET(TblProd[[#This Row],[Gems]],-1,0)+OFFSET(TblProd[[#This Row],[Gems/hr]],-1,0) - TblProd[[#This Row],[Expenses Gems]]</f>
        <v>0</v>
      </c>
      <c r="N46" s="113">
        <f ca="1">OFFSET(TblProd[[#This Row],[Boats]],-1,0)+OFFSET(TblProd[[#This Row],[Boats/hr]],-1,0)</f>
        <v>19</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750</v>
      </c>
      <c r="Q46" s="113">
        <v>10000</v>
      </c>
      <c r="R46" s="184"/>
      <c r="S46" s="113">
        <f ca="1">ROUNDDOWN(TblProd[[#This Row],[Raw Plat/hr]]*(1+TblProd[[#This Row],[Bonus Plat/hr]]),0)</f>
        <v>23057</v>
      </c>
      <c r="T46" s="113">
        <f ca="1">ROUND(TblProd[[#This Row],[Raw Food/hr]]*(1+TblProd[[#This Row],[Bonus Food/hr]])-TblProd[[#This Row],[Food decay]]-TblProd[[#This Row],[Food eaten]],0)</f>
        <v>924</v>
      </c>
      <c r="U46" s="113">
        <f ca="1">ROUND(TblProd[[#This Row],[Raw Lumber/hr]]*(1+TblProd[[#This Row],[Bonus Lumber/hr]])-TblProd[[#This Row],[Lumber rot]],0)</f>
        <v>735</v>
      </c>
      <c r="V46" s="113">
        <f ca="1">ROUND(TblProd[[#This Row],[Raw Mana/hr]]*(1+TblProd[[#This Row],[Bonus Mana/hr]])-TblProd[[#This Row],[Mana drain]],0)</f>
        <v>277</v>
      </c>
      <c r="W46" s="113">
        <f ca="1">ROUNDDOWN(TblProd[[#This Row],[Raw Ore/hr]]*(1+TblProd[[#This Row],[Bonux Ore/hr]]),0)</f>
        <v>1200</v>
      </c>
      <c r="X46" s="113">
        <f ca="1">ROUNDDOWN(TblProd[[#This Row],[Raw Gems/hr]]*(1+TblProd[[#This Row],[Bonus Gems/hr]]),0)</f>
        <v>0</v>
      </c>
      <c r="Y46" s="201">
        <f ca="1">OFFSET(TblConstr[[#This Row],[Tot Doc]],1,0)*dock_boats_hr * (1 + tech_4_1*TblTech[[#This Row],[4-1]])</f>
        <v>1</v>
      </c>
      <c r="Z46" s="200"/>
      <c r="AA46" s="113">
        <f ca="1">TblPop[[#This Row],[Peasants]]*tax*TblPop[[#This Row],[Employment]] + (Construction!AZ47+Construction!BX47)*(alch_plat+(Magic!AL46&gt;0)*alchemist_flame_bonus)</f>
        <v>20961</v>
      </c>
      <c r="AB46" s="113">
        <f ca="1">TblConstr[[#This Row],[Tot Farm]]*farm_food + TblConstr[[#This Row],[Tot Doc]]*dock_food</f>
        <v>3100</v>
      </c>
      <c r="AC46" s="113">
        <f ca="1">TblConstr[[#This Row],[Tot Ly]]*ly_lumber + TblConstr[[#This Row],[Tot Hav]]*fh_lumber</f>
        <v>1000</v>
      </c>
      <c r="AD46" s="113">
        <f ca="1">OFFSET(TblConstr[[#This Row],[Tot Tow]],1,0)*(tower_mana + tech_4_5*TblTech[[#This Row],[4-5]])</f>
        <v>375</v>
      </c>
      <c r="AE46" s="113">
        <f ca="1">OFFSET(TblConstr[[#This Row],[Tot OM]],1,0)*om_ore+IF(race="Dwarf",ROUNDDOWN(TblMili[[#This Row],[Unit 2]]/2,0),)</f>
        <v>1200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0.1</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834.15</v>
      </c>
      <c r="AP46" s="113">
        <f ca="1">(1+race_food_consumption)*TblPop[[#This Row],[Total]]*food_per_person*(1+tech_1_10*TblTech[[#This Row],[1-10]]+tech_7_5*TblTech[[#This Row],[7-5]])</f>
        <v>1574.25</v>
      </c>
      <c r="AQ46" s="113">
        <f ca="1">TblProd[[#This Row],[Lumber]]*lumber_rot * (1 + tech_2_1*TblTech[[#This Row],[2-1]] + tech_2_8*TblTech[[#This Row],[2-8]] + tech_5_2*TblTech[[#This Row],[5-2]])</f>
        <v>264.74</v>
      </c>
      <c r="AR46" s="113">
        <f ca="1">TblProd[[#This Row],[Mana]]*mana_drain * (1 + tech_2_1*TblTech[[#This Row],[2-1]] + tech_2_8*TblTech[[#This Row],[2-8]])</f>
        <v>97.740000000000009</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44406.499999999898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101502</v>
      </c>
      <c r="BJ46" s="113">
        <f ca="1">TblProd[[#This Row],[Food]]</f>
        <v>83415</v>
      </c>
      <c r="BK46" s="113">
        <f ca="1">TblProd[[#This Row],[Lumber]]</f>
        <v>26474</v>
      </c>
      <c r="BL46" s="113">
        <f ca="1">TblProd[[#This Row],[Mana]]</f>
        <v>4887</v>
      </c>
      <c r="BM46" s="113">
        <f ca="1">TblProd[[#This Row],[Ore]]</f>
        <v>22800</v>
      </c>
    </row>
    <row r="47" spans="1:65" x14ac:dyDescent="0.2">
      <c r="A47" s="178">
        <v>44</v>
      </c>
      <c r="B47" s="198">
        <f ca="1">TblImps[[#This Row],[Time]]</f>
        <v>44406.541666666562</v>
      </c>
      <c r="C47" s="199"/>
      <c r="D47" s="200"/>
      <c r="E47" s="113">
        <f ca="1">TblConstr[[#This Row],[Land]]</f>
        <v>454</v>
      </c>
      <c r="F47" s="113">
        <f ca="1">TblPop[[#This Row],[Peasants]]</f>
        <v>6279</v>
      </c>
      <c r="G47" s="113">
        <f ca="1">TblMili[[#This Row],[Networth (2)]]</f>
        <v>10825</v>
      </c>
      <c r="H47" s="113">
        <f ca="1">OFFSET(TblProd[[#This Row],[Platinum]],-1,0)+OFFSET(TblProd[[#This Row],[Plat/hr]],-1,0) - TblProd[[#This Row],[Expenses Platinum]] + IF(TblProd[[#This Row],[Plat Bonus]],TblPop[[#This Row],[Peasants]]*4) + SUM(TblConstr[[#This Row],[Dest Hom]:[Dest Doc]])*TblConstr[[#This Row],[CPA Platinum -DB]]*tech_3_3_2*TblTech[[#This Row],[3-3]]</f>
        <v>124559</v>
      </c>
      <c r="I47" s="113">
        <f ca="1">OFFSET(TblProd[[#This Row],[Food]],-1,0)+OFFSET(TblProd[[#This Row],[Food/hr]],-1,0)+ROUNDUP((TblConstr[[#This Row],[Farms]]*80+TblConstr[[#This Row],[Docks]]*35)*(1+OFFSET(TblProd[[#This Row],[Bonus Food/hr]],-1,0)),0)</f>
        <v>84339</v>
      </c>
      <c r="J47" s="113">
        <f ca="1">OFFSET(TblProd[[#This Row],[Lumber]],-1,0)+OFFSET(TblProd[[#This Row],[Lumber/hr]],-1,0) - TblProd[[#This Row],[Expenses Lumber]] + SUM(TblConstr[[#This Row],[Dest Hom]:[Dest Doc]])*TblConstr[[#This Row],[CPA Lumber -DB]]*tech_3_3_2*TblTech[[#This Row],[3-3]]</f>
        <v>27209</v>
      </c>
      <c r="K47" s="113">
        <f ca="1">OFFSET(TblProd[[#This Row],[Mana]],-1,0)+OFFSET(TblProd[[#This Row],[Mana/hr]],-1,0)- TblProd[[#This Row],[Expenses Mana]]</f>
        <v>5164</v>
      </c>
      <c r="L47" s="113">
        <f ca="1">OFFSET(TblProd[[#This Row],[Ore]],-1,0)+OFFSET(TblProd[[#This Row],[Ore/hr]],-1,0) -TblProd[[#This Row],[Expenses Ore]]</f>
        <v>24000</v>
      </c>
      <c r="M47" s="113">
        <f ca="1">OFFSET(TblProd[[#This Row],[Gems]],-1,0)+OFFSET(TblProd[[#This Row],[Gems/hr]],-1,0) - TblProd[[#This Row],[Expenses Gems]]</f>
        <v>0</v>
      </c>
      <c r="N47" s="113">
        <f ca="1">OFFSET(TblProd[[#This Row],[Boats]],-1,0)+OFFSET(TblProd[[#This Row],[Boats/hr]],-1,0)</f>
        <v>20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750</v>
      </c>
      <c r="Q47" s="113">
        <v>10000</v>
      </c>
      <c r="R47" s="184"/>
      <c r="S47" s="113">
        <f ca="1">ROUNDDOWN(TblProd[[#This Row],[Raw Plat/hr]]*(1+TblProd[[#This Row],[Bonus Plat/hr]]),0)</f>
        <v>23057</v>
      </c>
      <c r="T47" s="113">
        <f ca="1">ROUND(TblProd[[#This Row],[Raw Food/hr]]*(1+TblProd[[#This Row],[Bonus Food/hr]])-TblProd[[#This Row],[Food decay]]-TblProd[[#This Row],[Food eaten]],0)</f>
        <v>836</v>
      </c>
      <c r="U47" s="113">
        <f ca="1">ROUND(TblProd[[#This Row],[Raw Lumber/hr]]*(1+TblProd[[#This Row],[Bonus Lumber/hr]])-TblProd[[#This Row],[Lumber rot]],0)</f>
        <v>728</v>
      </c>
      <c r="V47" s="113">
        <f ca="1">ROUND(TblProd[[#This Row],[Raw Mana/hr]]*(1+TblProd[[#This Row],[Bonus Mana/hr]])-TblProd[[#This Row],[Mana drain]],0)</f>
        <v>272</v>
      </c>
      <c r="W47" s="113">
        <f ca="1">ROUNDDOWN(TblProd[[#This Row],[Raw Ore/hr]]*(1+TblProd[[#This Row],[Bonux Ore/hr]]),0)</f>
        <v>1200</v>
      </c>
      <c r="X47" s="113">
        <f ca="1">ROUNDDOWN(TblProd[[#This Row],[Raw Gems/hr]]*(1+TblProd[[#This Row],[Bonus Gems/hr]]),0)</f>
        <v>0</v>
      </c>
      <c r="Y47" s="201">
        <f ca="1">OFFSET(TblConstr[[#This Row],[Tot Doc]],1,0)*dock_boats_hr * (1 + tech_4_1*TblTech[[#This Row],[4-1]])</f>
        <v>1</v>
      </c>
      <c r="Z47" s="200"/>
      <c r="AA47" s="113">
        <f ca="1">TblPop[[#This Row],[Peasants]]*tax*TblPop[[#This Row],[Employment]] + (Construction!AZ48+Construction!BX48)*(alch_plat+(Magic!AL47&gt;0)*alchemist_flame_bonus)</f>
        <v>20961.000000000004</v>
      </c>
      <c r="AB47" s="113">
        <f ca="1">TblConstr[[#This Row],[Tot Farm]]*farm_food + TblConstr[[#This Row],[Tot Doc]]*dock_food</f>
        <v>3100</v>
      </c>
      <c r="AC47" s="113">
        <f ca="1">TblConstr[[#This Row],[Tot Ly]]*ly_lumber + TblConstr[[#This Row],[Tot Hav]]*fh_lumber</f>
        <v>1000</v>
      </c>
      <c r="AD47" s="113">
        <f ca="1">OFFSET(TblConstr[[#This Row],[Tot Tow]],1,0)*(tower_mana + tech_4_5*TblTech[[#This Row],[4-5]])</f>
        <v>375</v>
      </c>
      <c r="AE47" s="113">
        <f ca="1">OFFSET(TblConstr[[#This Row],[Tot OM]],1,0)*om_ore+IF(race="Dwarf",ROUNDDOWN(TblMili[[#This Row],[Unit 2]]/2,0),)</f>
        <v>1200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0.1</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843.39</v>
      </c>
      <c r="AP47" s="113">
        <f ca="1">(1+race_food_consumption)*TblPop[[#This Row],[Total]]*food_per_person*(1+tech_1_10*TblTech[[#This Row],[1-10]]+tech_7_5*TblTech[[#This Row],[7-5]])</f>
        <v>1653.25</v>
      </c>
      <c r="AQ47" s="113">
        <f ca="1">TblProd[[#This Row],[Lumber]]*lumber_rot * (1 + tech_2_1*TblTech[[#This Row],[2-1]] + tech_2_8*TblTech[[#This Row],[2-8]] + tech_5_2*TblTech[[#This Row],[5-2]])</f>
        <v>272.09000000000003</v>
      </c>
      <c r="AR47" s="113">
        <f ca="1">TblProd[[#This Row],[Mana]]*mana_drain * (1 + tech_2_1*TblTech[[#This Row],[2-1]] + tech_2_8*TblTech[[#This Row],[2-8]])</f>
        <v>103.28</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44406.541666666562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124559</v>
      </c>
      <c r="BJ47" s="113">
        <f ca="1">TblProd[[#This Row],[Food]]</f>
        <v>84339</v>
      </c>
      <c r="BK47" s="113">
        <f ca="1">TblProd[[#This Row],[Lumber]]</f>
        <v>27209</v>
      </c>
      <c r="BL47" s="113">
        <f ca="1">TblProd[[#This Row],[Mana]]</f>
        <v>5164</v>
      </c>
      <c r="BM47" s="113">
        <f ca="1">TblProd[[#This Row],[Ore]]</f>
        <v>24000</v>
      </c>
    </row>
    <row r="48" spans="1:65" x14ac:dyDescent="0.2">
      <c r="A48" s="178">
        <v>45</v>
      </c>
      <c r="B48" s="198">
        <f ca="1">TblImps[[#This Row],[Time]]</f>
        <v>44406.583333333227</v>
      </c>
      <c r="C48" s="199"/>
      <c r="D48" s="200"/>
      <c r="E48" s="113">
        <f ca="1">TblConstr[[#This Row],[Land]]</f>
        <v>454</v>
      </c>
      <c r="F48" s="113">
        <f ca="1">TblPop[[#This Row],[Peasants]]</f>
        <v>6545</v>
      </c>
      <c r="G48" s="113">
        <f ca="1">TblMili[[#This Row],[Networth (2)]]</f>
        <v>10825</v>
      </c>
      <c r="H48" s="113">
        <f ca="1">OFFSET(TblProd[[#This Row],[Platinum]],-1,0)+OFFSET(TblProd[[#This Row],[Plat/hr]],-1,0) - TblProd[[#This Row],[Expenses Platinum]] + IF(TblProd[[#This Row],[Plat Bonus]],TblPop[[#This Row],[Peasants]]*4) + SUM(TblConstr[[#This Row],[Dest Hom]:[Dest Doc]])*TblConstr[[#This Row],[CPA Platinum -DB]]*tech_3_3_2*TblTech[[#This Row],[3-3]]</f>
        <v>147616</v>
      </c>
      <c r="I48" s="113">
        <f ca="1">OFFSET(TblProd[[#This Row],[Food]],-1,0)+OFFSET(TblProd[[#This Row],[Food/hr]],-1,0)+ROUNDUP((TblConstr[[#This Row],[Farms]]*80+TblConstr[[#This Row],[Docks]]*35)*(1+OFFSET(TblProd[[#This Row],[Bonus Food/hr]],-1,0)),0)</f>
        <v>85175</v>
      </c>
      <c r="J48" s="113">
        <f ca="1">OFFSET(TblProd[[#This Row],[Lumber]],-1,0)+OFFSET(TblProd[[#This Row],[Lumber/hr]],-1,0) - TblProd[[#This Row],[Expenses Lumber]] + SUM(TblConstr[[#This Row],[Dest Hom]:[Dest Doc]])*TblConstr[[#This Row],[CPA Lumber -DB]]*tech_3_3_2*TblTech[[#This Row],[3-3]]</f>
        <v>27937</v>
      </c>
      <c r="K48" s="113">
        <f ca="1">OFFSET(TblProd[[#This Row],[Mana]],-1,0)+OFFSET(TblProd[[#This Row],[Mana/hr]],-1,0)- TblProd[[#This Row],[Expenses Mana]]</f>
        <v>5436</v>
      </c>
      <c r="L48" s="113">
        <f ca="1">OFFSET(TblProd[[#This Row],[Ore]],-1,0)+OFFSET(TblProd[[#This Row],[Ore/hr]],-1,0) -TblProd[[#This Row],[Expenses Ore]]</f>
        <v>25200</v>
      </c>
      <c r="M48" s="113">
        <f ca="1">OFFSET(TblProd[[#This Row],[Gems]],-1,0)+OFFSET(TblProd[[#This Row],[Gems/hr]],-1,0) - TblProd[[#This Row],[Expenses Gems]]</f>
        <v>0</v>
      </c>
      <c r="N48" s="113">
        <f ca="1">OFFSET(TblProd[[#This Row],[Boats]],-1,0)+OFFSET(TblProd[[#This Row],[Boats/hr]],-1,0)</f>
        <v>21</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750</v>
      </c>
      <c r="Q48" s="113">
        <v>10000</v>
      </c>
      <c r="R48" s="184"/>
      <c r="S48" s="113">
        <f ca="1">ROUNDDOWN(TblProd[[#This Row],[Raw Plat/hr]]*(1+TblProd[[#This Row],[Bonus Plat/hr]]),0)</f>
        <v>23057</v>
      </c>
      <c r="T48" s="113">
        <f ca="1">ROUND(TblProd[[#This Row],[Raw Food/hr]]*(1+TblProd[[#This Row],[Bonus Food/hr]])-TblProd[[#This Row],[Food decay]]-TblProd[[#This Row],[Food eaten]],0)</f>
        <v>745</v>
      </c>
      <c r="U48" s="113">
        <f ca="1">ROUND(TblProd[[#This Row],[Raw Lumber/hr]]*(1+TblProd[[#This Row],[Bonus Lumber/hr]])-TblProd[[#This Row],[Lumber rot]],0)</f>
        <v>721</v>
      </c>
      <c r="V48" s="113">
        <f ca="1">ROUND(TblProd[[#This Row],[Raw Mana/hr]]*(1+TblProd[[#This Row],[Bonus Mana/hr]])-TblProd[[#This Row],[Mana drain]],0)</f>
        <v>266</v>
      </c>
      <c r="W48" s="113">
        <f ca="1">ROUNDDOWN(TblProd[[#This Row],[Raw Ore/hr]]*(1+TblProd[[#This Row],[Bonux Ore/hr]]),0)</f>
        <v>1200</v>
      </c>
      <c r="X48" s="113">
        <f ca="1">ROUNDDOWN(TblProd[[#This Row],[Raw Gems/hr]]*(1+TblProd[[#This Row],[Bonus Gems/hr]]),0)</f>
        <v>0</v>
      </c>
      <c r="Y48" s="201">
        <f ca="1">OFFSET(TblConstr[[#This Row],[Tot Doc]],1,0)*dock_boats_hr * (1 + tech_4_1*TblTech[[#This Row],[4-1]])</f>
        <v>1</v>
      </c>
      <c r="Z48" s="200"/>
      <c r="AA48" s="113">
        <f ca="1">TblPop[[#This Row],[Peasants]]*tax*TblPop[[#This Row],[Employment]] + (Construction!AZ49+Construction!BX49)*(alch_plat+(Magic!AL48&gt;0)*alchemist_flame_bonus)</f>
        <v>20961</v>
      </c>
      <c r="AB48" s="113">
        <f ca="1">TblConstr[[#This Row],[Tot Farm]]*farm_food + TblConstr[[#This Row],[Tot Doc]]*dock_food</f>
        <v>3100</v>
      </c>
      <c r="AC48" s="113">
        <f ca="1">TblConstr[[#This Row],[Tot Ly]]*ly_lumber + TblConstr[[#This Row],[Tot Hav]]*fh_lumber</f>
        <v>1000</v>
      </c>
      <c r="AD48" s="113">
        <f ca="1">OFFSET(TblConstr[[#This Row],[Tot Tow]],1,0)*(tower_mana + tech_4_5*TblTech[[#This Row],[4-5]])</f>
        <v>375</v>
      </c>
      <c r="AE48" s="113">
        <f ca="1">OFFSET(TblConstr[[#This Row],[Tot OM]],1,0)*om_ore+IF(race="Dwarf",ROUNDDOWN(TblMili[[#This Row],[Unit 2]]/2,0),)</f>
        <v>1200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0.1</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851.75</v>
      </c>
      <c r="AP48" s="113">
        <f ca="1">(1+race_food_consumption)*TblPop[[#This Row],[Total]]*food_per_person*(1+tech_1_10*TblTech[[#This Row],[1-10]]+tech_7_5*TblTech[[#This Row],[7-5]])</f>
        <v>1735.5</v>
      </c>
      <c r="AQ48" s="113">
        <f ca="1">TblProd[[#This Row],[Lumber]]*lumber_rot * (1 + tech_2_1*TblTech[[#This Row],[2-1]] + tech_2_8*TblTech[[#This Row],[2-8]] + tech_5_2*TblTech[[#This Row],[5-2]])</f>
        <v>279.37</v>
      </c>
      <c r="AR48" s="113">
        <f ca="1">TblProd[[#This Row],[Mana]]*mana_drain * (1 + tech_2_1*TblTech[[#This Row],[2-1]] + tech_2_8*TblTech[[#This Row],[2-8]])</f>
        <v>108.72</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44406.583333333227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147616</v>
      </c>
      <c r="BJ48" s="113">
        <f ca="1">TblProd[[#This Row],[Food]]</f>
        <v>85175</v>
      </c>
      <c r="BK48" s="113">
        <f ca="1">TblProd[[#This Row],[Lumber]]</f>
        <v>27937</v>
      </c>
      <c r="BL48" s="113">
        <f ca="1">TblProd[[#This Row],[Mana]]</f>
        <v>5436</v>
      </c>
      <c r="BM48" s="113">
        <f ca="1">TblProd[[#This Row],[Ore]]</f>
        <v>25200</v>
      </c>
    </row>
    <row r="49" spans="1:65" x14ac:dyDescent="0.2">
      <c r="A49" s="178">
        <v>46</v>
      </c>
      <c r="B49" s="198">
        <f ca="1">TblImps[[#This Row],[Time]]</f>
        <v>44406.624999999891</v>
      </c>
      <c r="C49" s="199"/>
      <c r="D49" s="200"/>
      <c r="E49" s="113">
        <f ca="1">TblConstr[[#This Row],[Land]]</f>
        <v>454</v>
      </c>
      <c r="F49" s="113">
        <f ca="1">TblPop[[#This Row],[Peasants]]</f>
        <v>6672</v>
      </c>
      <c r="G49" s="113">
        <f ca="1">TblMili[[#This Row],[Networth (2)]]</f>
        <v>10825</v>
      </c>
      <c r="H49" s="113">
        <f ca="1">OFFSET(TblProd[[#This Row],[Platinum]],-1,0)+OFFSET(TblProd[[#This Row],[Plat/hr]],-1,0) - TblProd[[#This Row],[Expenses Platinum]] + IF(TblProd[[#This Row],[Plat Bonus]],TblPop[[#This Row],[Peasants]]*4) + SUM(TblConstr[[#This Row],[Dest Hom]:[Dest Doc]])*TblConstr[[#This Row],[CPA Platinum -DB]]*tech_3_3_2*TblTech[[#This Row],[3-3]]</f>
        <v>170673</v>
      </c>
      <c r="I49" s="113">
        <f ca="1">OFFSET(TblProd[[#This Row],[Food]],-1,0)+OFFSET(TblProd[[#This Row],[Food/hr]],-1,0)+ROUNDUP((TblConstr[[#This Row],[Farms]]*80+TblConstr[[#This Row],[Docks]]*35)*(1+OFFSET(TblProd[[#This Row],[Bonus Food/hr]],-1,0)),0)</f>
        <v>85920</v>
      </c>
      <c r="J49" s="113">
        <f ca="1">OFFSET(TblProd[[#This Row],[Lumber]],-1,0)+OFFSET(TblProd[[#This Row],[Lumber/hr]],-1,0) - TblProd[[#This Row],[Expenses Lumber]] + SUM(TblConstr[[#This Row],[Dest Hom]:[Dest Doc]])*TblConstr[[#This Row],[CPA Lumber -DB]]*tech_3_3_2*TblTech[[#This Row],[3-3]]</f>
        <v>28658</v>
      </c>
      <c r="K49" s="113">
        <f ca="1">OFFSET(TblProd[[#This Row],[Mana]],-1,0)+OFFSET(TblProd[[#This Row],[Mana/hr]],-1,0)- TblProd[[#This Row],[Expenses Mana]]</f>
        <v>5702</v>
      </c>
      <c r="L49" s="113">
        <f ca="1">OFFSET(TblProd[[#This Row],[Ore]],-1,0)+OFFSET(TblProd[[#This Row],[Ore/hr]],-1,0) -TblProd[[#This Row],[Expenses Ore]]</f>
        <v>26400</v>
      </c>
      <c r="M49" s="113">
        <f ca="1">OFFSET(TblProd[[#This Row],[Gems]],-1,0)+OFFSET(TblProd[[#This Row],[Gems/hr]],-1,0) - TblProd[[#This Row],[Expenses Gems]]</f>
        <v>0</v>
      </c>
      <c r="N49" s="113">
        <f ca="1">OFFSET(TblProd[[#This Row],[Boats]],-1,0)+OFFSET(TblProd[[#This Row],[Boats/hr]],-1,0)</f>
        <v>22</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750</v>
      </c>
      <c r="Q49" s="113">
        <v>10000</v>
      </c>
      <c r="R49" s="184"/>
      <c r="S49" s="113">
        <f ca="1">ROUNDDOWN(TblProd[[#This Row],[Raw Plat/hr]]*(1+TblProd[[#This Row],[Bonus Plat/hr]]),0)</f>
        <v>23057</v>
      </c>
      <c r="T49" s="113">
        <f ca="1">ROUND(TblProd[[#This Row],[Raw Food/hr]]*(1+TblProd[[#This Row],[Bonus Food/hr]])-TblProd[[#This Row],[Food decay]]-TblProd[[#This Row],[Food eaten]],0)</f>
        <v>690</v>
      </c>
      <c r="U49" s="113">
        <f ca="1">ROUND(TblProd[[#This Row],[Raw Lumber/hr]]*(1+TblProd[[#This Row],[Bonus Lumber/hr]])-TblProd[[#This Row],[Lumber rot]],0)</f>
        <v>713</v>
      </c>
      <c r="V49" s="113">
        <f ca="1">ROUND(TblProd[[#This Row],[Raw Mana/hr]]*(1+TblProd[[#This Row],[Bonus Mana/hr]])-TblProd[[#This Row],[Mana drain]],0)</f>
        <v>261</v>
      </c>
      <c r="W49" s="113">
        <f ca="1">ROUNDDOWN(TblProd[[#This Row],[Raw Ore/hr]]*(1+TblProd[[#This Row],[Bonux Ore/hr]]),0)</f>
        <v>1200</v>
      </c>
      <c r="X49" s="113">
        <f ca="1">ROUNDDOWN(TblProd[[#This Row],[Raw Gems/hr]]*(1+TblProd[[#This Row],[Bonus Gems/hr]]),0)</f>
        <v>0</v>
      </c>
      <c r="Y49" s="201">
        <f ca="1">OFFSET(TblConstr[[#This Row],[Tot Doc]],1,0)*dock_boats_hr * (1 + tech_4_1*TblTech[[#This Row],[4-1]])</f>
        <v>1</v>
      </c>
      <c r="Z49" s="200"/>
      <c r="AA49" s="113">
        <f ca="1">TblPop[[#This Row],[Peasants]]*tax*TblPop[[#This Row],[Employment]] + (Construction!AZ50+Construction!BX50)*(alch_plat+(Magic!AL49&gt;0)*alchemist_flame_bonus)</f>
        <v>20961</v>
      </c>
      <c r="AB49" s="113">
        <f ca="1">TblConstr[[#This Row],[Tot Farm]]*farm_food + TblConstr[[#This Row],[Tot Doc]]*dock_food</f>
        <v>3100</v>
      </c>
      <c r="AC49" s="113">
        <f ca="1">TblConstr[[#This Row],[Tot Ly]]*ly_lumber + TblConstr[[#This Row],[Tot Hav]]*fh_lumber</f>
        <v>1000</v>
      </c>
      <c r="AD49" s="113">
        <f ca="1">OFFSET(TblConstr[[#This Row],[Tot Tow]],1,0)*(tower_mana + tech_4_5*TblTech[[#This Row],[4-5]])</f>
        <v>375</v>
      </c>
      <c r="AE49" s="113">
        <f ca="1">OFFSET(TblConstr[[#This Row],[Tot OM]],1,0)*om_ore+IF(race="Dwarf",ROUNDDOWN(TblMili[[#This Row],[Unit 2]]/2,0),)</f>
        <v>1200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0.1</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859.2</v>
      </c>
      <c r="AP49" s="113">
        <f ca="1">(1+race_food_consumption)*TblPop[[#This Row],[Total]]*food_per_person*(1+tech_1_10*TblTech[[#This Row],[1-10]]+tech_7_5*TblTech[[#This Row],[7-5]])</f>
        <v>1783.5</v>
      </c>
      <c r="AQ49" s="113">
        <f ca="1">TblProd[[#This Row],[Lumber]]*lumber_rot * (1 + tech_2_1*TblTech[[#This Row],[2-1]] + tech_2_8*TblTech[[#This Row],[2-8]] + tech_5_2*TblTech[[#This Row],[5-2]])</f>
        <v>286.58</v>
      </c>
      <c r="AR49" s="113">
        <f ca="1">TblProd[[#This Row],[Mana]]*mana_drain * (1 + tech_2_1*TblTech[[#This Row],[2-1]] + tech_2_8*TblTech[[#This Row],[2-8]])</f>
        <v>114.04</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44406.624999999891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170673</v>
      </c>
      <c r="BJ49" s="113">
        <f ca="1">TblProd[[#This Row],[Food]]</f>
        <v>85920</v>
      </c>
      <c r="BK49" s="113">
        <f ca="1">TblProd[[#This Row],[Lumber]]</f>
        <v>28658</v>
      </c>
      <c r="BL49" s="113">
        <f ca="1">TblProd[[#This Row],[Mana]]</f>
        <v>5702</v>
      </c>
      <c r="BM49" s="113">
        <f ca="1">TblProd[[#This Row],[Ore]]</f>
        <v>26400</v>
      </c>
    </row>
    <row r="50" spans="1:65" x14ac:dyDescent="0.2">
      <c r="A50" s="178">
        <v>47</v>
      </c>
      <c r="B50" s="198">
        <f ca="1">TblImps[[#This Row],[Time]]</f>
        <v>44406.666666666555</v>
      </c>
      <c r="C50" s="199"/>
      <c r="D50" s="200"/>
      <c r="E50" s="113">
        <f ca="1">TblConstr[[#This Row],[Land]]</f>
        <v>550</v>
      </c>
      <c r="F50" s="113">
        <f ca="1">TblPop[[#This Row],[Peasants]]</f>
        <v>6945</v>
      </c>
      <c r="G50" s="113">
        <f ca="1">TblMili[[#This Row],[Networth (2)]]</f>
        <v>12745</v>
      </c>
      <c r="H50" s="113">
        <f ca="1">OFFSET(TblProd[[#This Row],[Platinum]],-1,0)+OFFSET(TblProd[[#This Row],[Plat/hr]],-1,0) - TblProd[[#This Row],[Expenses Platinum]] + IF(TblProd[[#This Row],[Plat Bonus]],TblPop[[#This Row],[Peasants]]*4) + SUM(TblConstr[[#This Row],[Dest Hom]:[Dest Doc]])*TblConstr[[#This Row],[CPA Platinum -DB]]*tech_3_3_2*TblTech[[#This Row],[3-3]]</f>
        <v>122786</v>
      </c>
      <c r="I50" s="113">
        <f ca="1">OFFSET(TblProd[[#This Row],[Food]],-1,0)+OFFSET(TblProd[[#This Row],[Food/hr]],-1,0)+ROUNDUP((TblConstr[[#This Row],[Farms]]*80+TblConstr[[#This Row],[Docks]]*35)*(1+OFFSET(TblProd[[#This Row],[Bonus Food/hr]],-1,0)),0)</f>
        <v>86610</v>
      </c>
      <c r="J50" s="113">
        <f ca="1">OFFSET(TblProd[[#This Row],[Lumber]],-1,0)+OFFSET(TblProd[[#This Row],[Lumber/hr]],-1,0) - TblProd[[#This Row],[Expenses Lumber]] + SUM(TblConstr[[#This Row],[Dest Hom]:[Dest Doc]])*TblConstr[[#This Row],[CPA Lumber -DB]]*tech_3_3_2*TblTech[[#This Row],[3-3]]</f>
        <v>20155</v>
      </c>
      <c r="K50" s="113">
        <f ca="1">OFFSET(TblProd[[#This Row],[Mana]],-1,0)+OFFSET(TblProd[[#This Row],[Mana/hr]],-1,0)- TblProd[[#This Row],[Expenses Mana]]</f>
        <v>5963</v>
      </c>
      <c r="L50" s="113">
        <f ca="1">OFFSET(TblProd[[#This Row],[Ore]],-1,0)+OFFSET(TblProd[[#This Row],[Ore/hr]],-1,0) -TblProd[[#This Row],[Expenses Ore]]</f>
        <v>27600</v>
      </c>
      <c r="M50" s="113">
        <f ca="1">OFFSET(TblProd[[#This Row],[Gems]],-1,0)+OFFSET(TblProd[[#This Row],[Gems/hr]],-1,0) - TblProd[[#This Row],[Expenses Gems]]</f>
        <v>0</v>
      </c>
      <c r="N50" s="113">
        <f ca="1">OFFSET(TblProd[[#This Row],[Boats]],-1,0)+OFFSET(TblProd[[#This Row],[Boats/hr]],-1,0)</f>
        <v>23</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750</v>
      </c>
      <c r="Q50" s="113">
        <v>10000</v>
      </c>
      <c r="R50" s="184"/>
      <c r="S50" s="113">
        <f ca="1">ROUNDDOWN(TblProd[[#This Row],[Raw Plat/hr]]*(1+TblProd[[#This Row],[Bonus Plat/hr]]),0)</f>
        <v>32704</v>
      </c>
      <c r="T50" s="113">
        <f ca="1">ROUND(TblProd[[#This Row],[Raw Food/hr]]*(1+TblProd[[#This Row],[Bonus Food/hr]])-TblProd[[#This Row],[Food decay]]-TblProd[[#This Row],[Food eaten]],0)</f>
        <v>598</v>
      </c>
      <c r="U50" s="113">
        <f ca="1">ROUND(TblProd[[#This Row],[Raw Lumber/hr]]*(1+TblProd[[#This Row],[Bonus Lumber/hr]])-TblProd[[#This Row],[Lumber rot]],0)</f>
        <v>798</v>
      </c>
      <c r="V50" s="113">
        <f ca="1">ROUND(TblProd[[#This Row],[Raw Mana/hr]]*(1+TblProd[[#This Row],[Bonus Mana/hr]])-TblProd[[#This Row],[Mana drain]],0)</f>
        <v>256</v>
      </c>
      <c r="W50" s="113">
        <f ca="1">ROUNDDOWN(TblProd[[#This Row],[Raw Ore/hr]]*(1+TblProd[[#This Row],[Bonux Ore/hr]]),0)</f>
        <v>1800</v>
      </c>
      <c r="X50" s="113">
        <f ca="1">ROUNDDOWN(TblProd[[#This Row],[Raw Gems/hr]]*(1+TblProd[[#This Row],[Bonus Gems/hr]]),0)</f>
        <v>0</v>
      </c>
      <c r="Y50" s="201">
        <f ca="1">OFFSET(TblConstr[[#This Row],[Tot Doc]],1,0)*dock_boats_hr * (1 + tech_4_1*TblTech[[#This Row],[4-1]])</f>
        <v>1</v>
      </c>
      <c r="Z50" s="200"/>
      <c r="AA50" s="113">
        <f ca="1">TblPop[[#This Row],[Peasants]]*tax*TblPop[[#This Row],[Employment]] + (Construction!AZ51+Construction!BX51)*(alch_plat+(Magic!AL50&gt;0)*alchemist_flame_bonus)</f>
        <v>29731.5</v>
      </c>
      <c r="AB50" s="113">
        <f ca="1">TblConstr[[#This Row],[Tot Farm]]*farm_food + TblConstr[[#This Row],[Tot Doc]]*dock_food</f>
        <v>3100</v>
      </c>
      <c r="AC50" s="113">
        <f ca="1">TblConstr[[#This Row],[Tot Ly]]*ly_lumber + TblConstr[[#This Row],[Tot Hav]]*fh_lumber</f>
        <v>1000</v>
      </c>
      <c r="AD50" s="113">
        <f ca="1">OFFSET(TblConstr[[#This Row],[Tot Tow]],1,0)*(tower_mana + tech_4_5*TblTech[[#This Row],[4-5]])</f>
        <v>375</v>
      </c>
      <c r="AE50" s="113">
        <f ca="1">OFFSET(TblConstr[[#This Row],[Tot OM]],1,0)*om_ore+IF(race="Dwarf",ROUNDDOWN(TblMili[[#This Row],[Unit 2]]/2,0),)</f>
        <v>1800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0.1</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866.1</v>
      </c>
      <c r="AP50" s="113">
        <f ca="1">(1+race_food_consumption)*TblPop[[#This Row],[Total]]*food_per_person*(1+tech_1_10*TblTech[[#This Row],[1-10]]+tech_7_5*TblTech[[#This Row],[7-5]])</f>
        <v>1868.5</v>
      </c>
      <c r="AQ50" s="113">
        <f ca="1">TblProd[[#This Row],[Lumber]]*lumber_rot * (1 + tech_2_1*TblTech[[#This Row],[2-1]] + tech_2_8*TblTech[[#This Row],[2-8]] + tech_5_2*TblTech[[#This Row],[5-2]])</f>
        <v>201.55</v>
      </c>
      <c r="AR50" s="113">
        <f ca="1">TblProd[[#This Row],[Mana]]*mana_drain * (1 + tech_2_1*TblTech[[#This Row],[2-1]] + tech_2_8*TblTech[[#This Row],[2-8]])</f>
        <v>119.26</v>
      </c>
      <c r="AS50" s="200"/>
      <c r="AT50" s="113">
        <f ca="1">TblExplore[[#This Row],[Platinum (2)]]+TblConstr[[#This Row],[Total Plat Cost]]+TblMili[[#This Row],[Plat Cost]]+TblRezone[[#This Row],[Platinum cost]]+TblImps[[#This Row],[P1]]-TblProd[[#This Row],[Bank Plat]]</f>
        <v>70944</v>
      </c>
      <c r="AU50" s="113">
        <f ca="1">TblConstr[[#This Row],[Total Lum Cost]]+TblImps[[#This Row],[L1]]-TblProd[[#This Row],[Bank Lumber]] + Military!$CH$25*TblMili[[#This Row],[Sec. rec. Cost]]</f>
        <v>9216</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44406.666666666555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122786</v>
      </c>
      <c r="BJ50" s="113">
        <f ca="1">TblProd[[#This Row],[Food]]</f>
        <v>86610</v>
      </c>
      <c r="BK50" s="113">
        <f ca="1">TblProd[[#This Row],[Lumber]]</f>
        <v>20155</v>
      </c>
      <c r="BL50" s="113">
        <f ca="1">TblProd[[#This Row],[Mana]]</f>
        <v>5963</v>
      </c>
      <c r="BM50" s="113">
        <f ca="1">TblProd[[#This Row],[Ore]]</f>
        <v>27600</v>
      </c>
    </row>
    <row r="51" spans="1:65" x14ac:dyDescent="0.2">
      <c r="A51" s="178">
        <v>48</v>
      </c>
      <c r="B51" s="198">
        <f ca="1">TblImps[[#This Row],[Time]]</f>
        <v>44406.708333333219</v>
      </c>
      <c r="C51" s="199">
        <v>1</v>
      </c>
      <c r="D51" s="200"/>
      <c r="E51" s="113">
        <f ca="1">TblConstr[[#This Row],[Land]]</f>
        <v>557</v>
      </c>
      <c r="F51" s="113">
        <f ca="1">TblPop[[#This Row],[Peasants]]</f>
        <v>7230</v>
      </c>
      <c r="G51" s="113">
        <f ca="1">TblMili[[#This Row],[Networth (2)]]</f>
        <v>13560</v>
      </c>
      <c r="H51" s="113">
        <f ca="1">OFFSET(TblProd[[#This Row],[Platinum]],-1,0)+OFFSET(TblProd[[#This Row],[Plat/hr]],-1,0) - TblProd[[#This Row],[Expenses Platinum]] + IF(TblProd[[#This Row],[Plat Bonus]],TblPop[[#This Row],[Peasants]]*4) + SUM(TblConstr[[#This Row],[Dest Hom]:[Dest Doc]])*TblConstr[[#This Row],[CPA Platinum -DB]]*tech_3_3_2*TblTech[[#This Row],[3-3]]</f>
        <v>179048</v>
      </c>
      <c r="I51" s="113">
        <f ca="1">OFFSET(TblProd[[#This Row],[Food]],-1,0)+OFFSET(TblProd[[#This Row],[Food/hr]],-1,0)+ROUNDUP((TblConstr[[#This Row],[Farms]]*80+TblConstr[[#This Row],[Docks]]*35)*(1+OFFSET(TblProd[[#This Row],[Bonus Food/hr]],-1,0)),0)</f>
        <v>87208</v>
      </c>
      <c r="J51" s="113">
        <f ca="1">OFFSET(TblProd[[#This Row],[Lumber]],-1,0)+OFFSET(TblProd[[#This Row],[Lumber/hr]],-1,0) - TblProd[[#This Row],[Expenses Lumber]] + SUM(TblConstr[[#This Row],[Dest Hom]:[Dest Doc]])*TblConstr[[#This Row],[CPA Lumber -DB]]*tech_3_3_2*TblTech[[#This Row],[3-3]]</f>
        <v>20239</v>
      </c>
      <c r="K51" s="113">
        <f ca="1">OFFSET(TblProd[[#This Row],[Mana]],-1,0)+OFFSET(TblProd[[#This Row],[Mana/hr]],-1,0)- TblProd[[#This Row],[Expenses Mana]]</f>
        <v>6219</v>
      </c>
      <c r="L51" s="113">
        <f ca="1">OFFSET(TblProd[[#This Row],[Ore]],-1,0)+OFFSET(TblProd[[#This Row],[Ore/hr]],-1,0) -TblProd[[#This Row],[Expenses Ore]]</f>
        <v>29400</v>
      </c>
      <c r="M51" s="113">
        <f ca="1">OFFSET(TblProd[[#This Row],[Gems]],-1,0)+OFFSET(TblProd[[#This Row],[Gems/hr]],-1,0) - TblProd[[#This Row],[Expenses Gems]]</f>
        <v>0</v>
      </c>
      <c r="N51" s="113">
        <f ca="1">OFFSET(TblProd[[#This Row],[Boats]],-1,0)+OFFSET(TblProd[[#This Row],[Boats/hr]],-1,0)</f>
        <v>24</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1500</v>
      </c>
      <c r="Q51" s="113">
        <v>10000</v>
      </c>
      <c r="R51" s="184"/>
      <c r="S51" s="113">
        <f ca="1">ROUNDDOWN(TblProd[[#This Row],[Raw Plat/hr]]*(1+TblProd[[#This Row],[Bonus Plat/hr]]),0)</f>
        <v>33551</v>
      </c>
      <c r="T51" s="113">
        <f ca="1">ROUND(TblProd[[#This Row],[Raw Food/hr]]*(1+TblProd[[#This Row],[Bonus Food/hr]])-TblProd[[#This Row],[Food decay]]-TblProd[[#This Row],[Food eaten]],0)</f>
        <v>503</v>
      </c>
      <c r="U51" s="113">
        <f ca="1">ROUND(TblProd[[#This Row],[Raw Lumber/hr]]*(1+TblProd[[#This Row],[Bonus Lumber/hr]])-TblProd[[#This Row],[Lumber rot]],0)</f>
        <v>798</v>
      </c>
      <c r="V51" s="113">
        <f ca="1">ROUND(TblProd[[#This Row],[Raw Mana/hr]]*(1+TblProd[[#This Row],[Bonus Mana/hr]])-TblProd[[#This Row],[Mana drain]],0)</f>
        <v>251</v>
      </c>
      <c r="W51" s="113">
        <f ca="1">ROUNDDOWN(TblProd[[#This Row],[Raw Ore/hr]]*(1+TblProd[[#This Row],[Bonux Ore/hr]]),0)</f>
        <v>1800</v>
      </c>
      <c r="X51" s="113">
        <f ca="1">ROUNDDOWN(TblProd[[#This Row],[Raw Gems/hr]]*(1+TblProd[[#This Row],[Bonus Gems/hr]]),0)</f>
        <v>0</v>
      </c>
      <c r="Y51" s="201">
        <f ca="1">OFFSET(TblConstr[[#This Row],[Tot Doc]],1,0)*dock_boats_hr * (1 + tech_4_1*TblTech[[#This Row],[4-1]])</f>
        <v>1</v>
      </c>
      <c r="Z51" s="200"/>
      <c r="AA51" s="113">
        <f ca="1">TblPop[[#This Row],[Peasants]]*tax*TblPop[[#This Row],[Employment]] + (Construction!AZ52+Construction!BX52)*(alch_plat+(Magic!AL51&gt;0)*alchemist_flame_bonus)</f>
        <v>30501</v>
      </c>
      <c r="AB51" s="113">
        <f ca="1">TblConstr[[#This Row],[Tot Farm]]*farm_food + TblConstr[[#This Row],[Tot Doc]]*dock_food</f>
        <v>3100</v>
      </c>
      <c r="AC51" s="113">
        <f ca="1">TblConstr[[#This Row],[Tot Ly]]*ly_lumber + TblConstr[[#This Row],[Tot Hav]]*fh_lumber</f>
        <v>1000</v>
      </c>
      <c r="AD51" s="113">
        <f ca="1">OFFSET(TblConstr[[#This Row],[Tot Tow]],1,0)*(tower_mana + tech_4_5*TblTech[[#This Row],[4-5]])</f>
        <v>375</v>
      </c>
      <c r="AE51" s="113">
        <f ca="1">OFFSET(TblConstr[[#This Row],[Tot OM]],1,0)*om_ore+IF(race="Dwarf",ROUNDDOWN(TblMili[[#This Row],[Unit 2]]/2,0),)</f>
        <v>1800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0.1</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872.08</v>
      </c>
      <c r="AP51" s="113">
        <f ca="1">(1+race_food_consumption)*TblPop[[#This Row],[Total]]*food_per_person*(1+tech_1_10*TblTech[[#This Row],[1-10]]+tech_7_5*TblTech[[#This Row],[7-5]])</f>
        <v>1957</v>
      </c>
      <c r="AQ51" s="113">
        <f ca="1">TblProd[[#This Row],[Lumber]]*lumber_rot * (1 + tech_2_1*TblTech[[#This Row],[2-1]] + tech_2_8*TblTech[[#This Row],[2-8]] + tech_5_2*TblTech[[#This Row],[5-2]])</f>
        <v>202.39000000000001</v>
      </c>
      <c r="AR51" s="113">
        <f ca="1">TblProd[[#This Row],[Mana]]*mana_drain * (1 + tech_2_1*TblTech[[#This Row],[2-1]] + tech_2_8*TblTech[[#This Row],[2-8]])</f>
        <v>124.38000000000001</v>
      </c>
      <c r="AS51" s="200"/>
      <c r="AT51" s="113">
        <f ca="1">TblExplore[[#This Row],[Platinum (2)]]+TblConstr[[#This Row],[Total Plat Cost]]+TblMili[[#This Row],[Plat Cost]]+TblRezone[[#This Row],[Platinum cost]]+TblImps[[#This Row],[P1]]-TblProd[[#This Row],[Bank Plat]]</f>
        <v>5362</v>
      </c>
      <c r="AU51" s="113">
        <f ca="1">TblConstr[[#This Row],[Total Lum Cost]]+TblImps[[#This Row],[L1]]-TblProd[[#This Row],[Bank Lumber]] + Military!$CH$25*TblMili[[#This Row],[Sec. rec. Cost]]</f>
        <v>714</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44406.708333333219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179048</v>
      </c>
      <c r="BJ51" s="113">
        <f ca="1">TblProd[[#This Row],[Food]]</f>
        <v>87208</v>
      </c>
      <c r="BK51" s="113">
        <f ca="1">TblProd[[#This Row],[Lumber]]</f>
        <v>20239</v>
      </c>
      <c r="BL51" s="113">
        <f ca="1">TblProd[[#This Row],[Mana]]</f>
        <v>6219</v>
      </c>
      <c r="BM51" s="113">
        <f ca="1">TblProd[[#This Row],[Ore]]</f>
        <v>29400</v>
      </c>
    </row>
    <row r="52" spans="1:65" x14ac:dyDescent="0.2">
      <c r="A52" s="178">
        <v>49</v>
      </c>
      <c r="B52" s="198">
        <f ca="1">TblImps[[#This Row],[Time]]</f>
        <v>44406.749999999884</v>
      </c>
      <c r="C52" s="199"/>
      <c r="D52" s="200"/>
      <c r="E52" s="113">
        <f ca="1">TblConstr[[#This Row],[Land]]</f>
        <v>585</v>
      </c>
      <c r="F52" s="113">
        <f ca="1">TblPop[[#This Row],[Peasants]]</f>
        <v>7526</v>
      </c>
      <c r="G52" s="113">
        <f ca="1">TblMili[[#This Row],[Networth (2)]]</f>
        <v>14120</v>
      </c>
      <c r="H52" s="113">
        <f ca="1">OFFSET(TblProd[[#This Row],[Platinum]],-1,0)+OFFSET(TblProd[[#This Row],[Plat/hr]],-1,0) - TblProd[[#This Row],[Expenses Platinum]] + IF(TblProd[[#This Row],[Plat Bonus]],TblPop[[#This Row],[Peasants]]*4) + SUM(TblConstr[[#This Row],[Dest Hom]:[Dest Doc]])*TblConstr[[#This Row],[CPA Platinum -DB]]*tech_3_3_2*TblTech[[#This Row],[3-3]]</f>
        <v>190631</v>
      </c>
      <c r="I52" s="113">
        <f ca="1">OFFSET(TblProd[[#This Row],[Food]],-1,0)+OFFSET(TblProd[[#This Row],[Food/hr]],-1,0)+ROUNDUP((TblConstr[[#This Row],[Farms]]*80+TblConstr[[#This Row],[Docks]]*35)*(1+OFFSET(TblProd[[#This Row],[Bonus Food/hr]],-1,0)),0)</f>
        <v>87711</v>
      </c>
      <c r="J52" s="113">
        <f ca="1">OFFSET(TblProd[[#This Row],[Lumber]],-1,0)+OFFSET(TblProd[[#This Row],[Lumber/hr]],-1,0) - TblProd[[#This Row],[Expenses Lumber]] + SUM(TblConstr[[#This Row],[Dest Hom]:[Dest Doc]])*TblConstr[[#This Row],[CPA Lumber -DB]]*tech_3_3_2*TblTech[[#This Row],[3-3]]</f>
        <v>18085</v>
      </c>
      <c r="K52" s="113">
        <f ca="1">OFFSET(TblProd[[#This Row],[Mana]],-1,0)+OFFSET(TblProd[[#This Row],[Mana/hr]],-1,0)- TblProd[[#This Row],[Expenses Mana]]</f>
        <v>6470</v>
      </c>
      <c r="L52" s="113">
        <f ca="1">OFFSET(TblProd[[#This Row],[Ore]],-1,0)+OFFSET(TblProd[[#This Row],[Ore/hr]],-1,0) -TblProd[[#This Row],[Expenses Ore]]</f>
        <v>31200</v>
      </c>
      <c r="M52" s="113">
        <f ca="1">OFFSET(TblProd[[#This Row],[Gems]],-1,0)+OFFSET(TblProd[[#This Row],[Gems/hr]],-1,0) - TblProd[[#This Row],[Expenses Gems]]</f>
        <v>0</v>
      </c>
      <c r="N52" s="113">
        <f ca="1">OFFSET(TblProd[[#This Row],[Boats]],-1,0)+OFFSET(TblProd[[#This Row],[Boats/hr]],-1,0)</f>
        <v>25</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1500</v>
      </c>
      <c r="Q52" s="113">
        <v>10000</v>
      </c>
      <c r="R52" s="184"/>
      <c r="S52" s="113">
        <f ca="1">ROUNDDOWN(TblProd[[#This Row],[Raw Plat/hr]]*(1+TblProd[[#This Row],[Bonus Plat/hr]]),0)</f>
        <v>34430</v>
      </c>
      <c r="T52" s="113">
        <f ca="1">ROUND(TblProd[[#This Row],[Raw Food/hr]]*(1+TblProd[[#This Row],[Bonus Food/hr]])-TblProd[[#This Row],[Food decay]]-TblProd[[#This Row],[Food eaten]],0)</f>
        <v>406</v>
      </c>
      <c r="U52" s="113">
        <f ca="1">ROUND(TblProd[[#This Row],[Raw Lumber/hr]]*(1+TblProd[[#This Row],[Bonus Lumber/hr]])-TblProd[[#This Row],[Lumber rot]],0)</f>
        <v>819</v>
      </c>
      <c r="V52" s="113">
        <f ca="1">ROUND(TblProd[[#This Row],[Raw Mana/hr]]*(1+TblProd[[#This Row],[Bonus Mana/hr]])-TblProd[[#This Row],[Mana drain]],0)</f>
        <v>246</v>
      </c>
      <c r="W52" s="113">
        <f ca="1">ROUNDDOWN(TblProd[[#This Row],[Raw Ore/hr]]*(1+TblProd[[#This Row],[Bonux Ore/hr]]),0)</f>
        <v>1800</v>
      </c>
      <c r="X52" s="113">
        <f ca="1">ROUNDDOWN(TblProd[[#This Row],[Raw Gems/hr]]*(1+TblProd[[#This Row],[Bonus Gems/hr]]),0)</f>
        <v>0</v>
      </c>
      <c r="Y52" s="201">
        <f ca="1">OFFSET(TblConstr[[#This Row],[Tot Doc]],1,0)*dock_boats_hr * (1 + tech_4_1*TblTech[[#This Row],[4-1]])</f>
        <v>1</v>
      </c>
      <c r="Z52" s="200"/>
      <c r="AA52" s="113">
        <f ca="1">TblPop[[#This Row],[Peasants]]*tax*TblPop[[#This Row],[Employment]] + (Construction!AZ53+Construction!BX53)*(alch_plat+(Magic!AL52&gt;0)*alchemist_flame_bonus)</f>
        <v>31300.2</v>
      </c>
      <c r="AB52" s="113">
        <f ca="1">TblConstr[[#This Row],[Tot Farm]]*farm_food + TblConstr[[#This Row],[Tot Doc]]*dock_food</f>
        <v>3100</v>
      </c>
      <c r="AC52" s="113">
        <f ca="1">TblConstr[[#This Row],[Tot Ly]]*ly_lumber + TblConstr[[#This Row],[Tot Hav]]*fh_lumber</f>
        <v>1000</v>
      </c>
      <c r="AD52" s="113">
        <f ca="1">OFFSET(TblConstr[[#This Row],[Tot Tow]],1,0)*(tower_mana + tech_4_5*TblTech[[#This Row],[4-5]])</f>
        <v>375</v>
      </c>
      <c r="AE52" s="113">
        <f ca="1">OFFSET(TblConstr[[#This Row],[Tot OM]],1,0)*om_ore+IF(race="Dwarf",ROUNDDOWN(TblMili[[#This Row],[Unit 2]]/2,0),)</f>
        <v>1800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0.1</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877.11</v>
      </c>
      <c r="AP52" s="113">
        <f ca="1">(1+race_food_consumption)*TblPop[[#This Row],[Total]]*food_per_person*(1+tech_1_10*TblTech[[#This Row],[1-10]]+tech_7_5*TblTech[[#This Row],[7-5]])</f>
        <v>2049</v>
      </c>
      <c r="AQ52" s="113">
        <f ca="1">TblProd[[#This Row],[Lumber]]*lumber_rot * (1 + tech_2_1*TblTech[[#This Row],[2-1]] + tech_2_8*TblTech[[#This Row],[2-8]] + tech_5_2*TblTech[[#This Row],[5-2]])</f>
        <v>180.85</v>
      </c>
      <c r="AR52" s="113">
        <f ca="1">TblProd[[#This Row],[Mana]]*mana_drain * (1 + tech_2_1*TblTech[[#This Row],[2-1]] + tech_2_8*TblTech[[#This Row],[2-8]])</f>
        <v>129.4</v>
      </c>
      <c r="AS52" s="200"/>
      <c r="AT52" s="113">
        <f ca="1">TblExplore[[#This Row],[Platinum (2)]]+TblConstr[[#This Row],[Total Plat Cost]]+TblMili[[#This Row],[Plat Cost]]+TblRezone[[#This Row],[Platinum cost]]+TblImps[[#This Row],[P1]]-TblProd[[#This Row],[Bank Plat]]</f>
        <v>21968</v>
      </c>
      <c r="AU52" s="113">
        <f ca="1">TblConstr[[#This Row],[Total Lum Cost]]+TblImps[[#This Row],[L1]]-TblProd[[#This Row],[Bank Lumber]] + Military!$CH$25*TblMili[[#This Row],[Sec. rec. Cost]]</f>
        <v>2952</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44406.749999999884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190631</v>
      </c>
      <c r="BJ52" s="113">
        <f ca="1">TblProd[[#This Row],[Food]]</f>
        <v>87711</v>
      </c>
      <c r="BK52" s="113">
        <f ca="1">TblProd[[#This Row],[Lumber]]</f>
        <v>18085</v>
      </c>
      <c r="BL52" s="113">
        <f ca="1">TblProd[[#This Row],[Mana]]</f>
        <v>6470</v>
      </c>
      <c r="BM52" s="113">
        <f ca="1">TblProd[[#This Row],[Ore]]</f>
        <v>31200</v>
      </c>
    </row>
    <row r="53" spans="1:65" x14ac:dyDescent="0.2">
      <c r="A53" s="178">
        <v>50</v>
      </c>
      <c r="B53" s="198">
        <f ca="1">TblImps[[#This Row],[Time]]</f>
        <v>44406.791666666548</v>
      </c>
      <c r="C53" s="199"/>
      <c r="D53" s="200"/>
      <c r="E53" s="113">
        <f ca="1">TblConstr[[#This Row],[Land]]</f>
        <v>593</v>
      </c>
      <c r="F53" s="113">
        <f ca="1">TblPop[[#This Row],[Peasants]]</f>
        <v>7832</v>
      </c>
      <c r="G53" s="113">
        <f ca="1">TblMili[[#This Row],[Networth (2)]]</f>
        <v>14280</v>
      </c>
      <c r="H53" s="113">
        <f ca="1">OFFSET(TblProd[[#This Row],[Platinum]],-1,0)+OFFSET(TblProd[[#This Row],[Plat/hr]],-1,0) - TblProd[[#This Row],[Expenses Platinum]] + IF(TblProd[[#This Row],[Plat Bonus]],TblPop[[#This Row],[Peasants]]*4) + SUM(TblConstr[[#This Row],[Dest Hom]:[Dest Doc]])*TblConstr[[#This Row],[CPA Platinum -DB]]*tech_3_3_2*TblTech[[#This Row],[3-3]]</f>
        <v>218669</v>
      </c>
      <c r="I53" s="113">
        <f ca="1">OFFSET(TblProd[[#This Row],[Food]],-1,0)+OFFSET(TblProd[[#This Row],[Food/hr]],-1,0)+ROUNDUP((TblConstr[[#This Row],[Farms]]*80+TblConstr[[#This Row],[Docks]]*35)*(1+OFFSET(TblProd[[#This Row],[Bonus Food/hr]],-1,0)),0)</f>
        <v>88117</v>
      </c>
      <c r="J53" s="113">
        <f ca="1">OFFSET(TblProd[[#This Row],[Lumber]],-1,0)+OFFSET(TblProd[[#This Row],[Lumber/hr]],-1,0) - TblProd[[#This Row],[Expenses Lumber]] + SUM(TblConstr[[#This Row],[Dest Hom]:[Dest Doc]])*TblConstr[[#This Row],[CPA Lumber -DB]]*tech_3_3_2*TblTech[[#This Row],[3-3]]</f>
        <v>18040</v>
      </c>
      <c r="K53" s="113">
        <f ca="1">OFFSET(TblProd[[#This Row],[Mana]],-1,0)+OFFSET(TblProd[[#This Row],[Mana/hr]],-1,0)- TblProd[[#This Row],[Expenses Mana]]</f>
        <v>5233.5</v>
      </c>
      <c r="L53" s="113">
        <f ca="1">OFFSET(TblProd[[#This Row],[Ore]],-1,0)+OFFSET(TblProd[[#This Row],[Ore/hr]],-1,0) -TblProd[[#This Row],[Expenses Ore]]</f>
        <v>33000</v>
      </c>
      <c r="M53" s="113">
        <f ca="1">OFFSET(TblProd[[#This Row],[Gems]],-1,0)+OFFSET(TblProd[[#This Row],[Gems/hr]],-1,0) - TblProd[[#This Row],[Expenses Gems]]</f>
        <v>0</v>
      </c>
      <c r="N53" s="113">
        <f ca="1">OFFSET(TblProd[[#This Row],[Boats]],-1,0)+OFFSET(TblProd[[#This Row],[Boats/hr]],-1,0)</f>
        <v>26</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1500</v>
      </c>
      <c r="Q53" s="113">
        <v>10000</v>
      </c>
      <c r="R53" s="184"/>
      <c r="S53" s="113">
        <f ca="1">ROUNDDOWN(TblProd[[#This Row],[Raw Plat/hr]]*(1+TblProd[[#This Row],[Bonus Plat/hr]]),0)</f>
        <v>35339</v>
      </c>
      <c r="T53" s="113">
        <f ca="1">ROUND(TblProd[[#This Row],[Raw Food/hr]]*(1+TblProd[[#This Row],[Bonus Food/hr]])-TblProd[[#This Row],[Food decay]]-TblProd[[#This Row],[Food eaten]],0)</f>
        <v>307</v>
      </c>
      <c r="U53" s="113">
        <f ca="1">ROUND(TblProd[[#This Row],[Raw Lumber/hr]]*(1+TblProd[[#This Row],[Bonus Lumber/hr]])-TblProd[[#This Row],[Lumber rot]],0)</f>
        <v>820</v>
      </c>
      <c r="V53" s="113">
        <f ca="1">ROUND(TblProd[[#This Row],[Raw Mana/hr]]*(1+TblProd[[#This Row],[Bonus Mana/hr]])-TblProd[[#This Row],[Mana drain]],0)</f>
        <v>270</v>
      </c>
      <c r="W53" s="113">
        <f ca="1">ROUNDDOWN(TblProd[[#This Row],[Raw Ore/hr]]*(1+TblProd[[#This Row],[Bonux Ore/hr]]),0)</f>
        <v>1800</v>
      </c>
      <c r="X53" s="113">
        <f ca="1">ROUNDDOWN(TblProd[[#This Row],[Raw Gems/hr]]*(1+TblProd[[#This Row],[Bonus Gems/hr]]),0)</f>
        <v>0</v>
      </c>
      <c r="Y53" s="201">
        <f ca="1">OFFSET(TblConstr[[#This Row],[Tot Doc]],1,0)*dock_boats_hr * (1 + tech_4_1*TblTech[[#This Row],[4-1]])</f>
        <v>1</v>
      </c>
      <c r="Z53" s="200"/>
      <c r="AA53" s="113">
        <f ca="1">TblPop[[#This Row],[Peasants]]*tax*TblPop[[#This Row],[Employment]] + (Construction!AZ54+Construction!BX54)*(alch_plat+(Magic!AL53&gt;0)*alchemist_flame_bonus)</f>
        <v>32126.400000000001</v>
      </c>
      <c r="AB53" s="113">
        <f ca="1">TblConstr[[#This Row],[Tot Farm]]*farm_food + TblConstr[[#This Row],[Tot Doc]]*dock_food</f>
        <v>3100</v>
      </c>
      <c r="AC53" s="113">
        <f ca="1">TblConstr[[#This Row],[Tot Ly]]*ly_lumber + TblConstr[[#This Row],[Tot Hav]]*fh_lumber</f>
        <v>1000</v>
      </c>
      <c r="AD53" s="113">
        <f ca="1">OFFSET(TblConstr[[#This Row],[Tot Tow]],1,0)*(tower_mana + tech_4_5*TblTech[[#This Row],[4-5]])</f>
        <v>375</v>
      </c>
      <c r="AE53" s="113">
        <f ca="1">OFFSET(TblConstr[[#This Row],[Tot OM]],1,0)*om_ore+IF(race="Dwarf",ROUNDDOWN(TblMili[[#This Row],[Unit 2]]/2,0),)</f>
        <v>1800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0.1</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881.17000000000007</v>
      </c>
      <c r="AP53" s="113">
        <f ca="1">(1+race_food_consumption)*TblPop[[#This Row],[Total]]*food_per_person*(1+tech_1_10*TblTech[[#This Row],[1-10]]+tech_7_5*TblTech[[#This Row],[7-5]])</f>
        <v>2144.25</v>
      </c>
      <c r="AQ53" s="113">
        <f ca="1">TblProd[[#This Row],[Lumber]]*lumber_rot * (1 + tech_2_1*TblTech[[#This Row],[2-1]] + tech_2_8*TblTech[[#This Row],[2-8]] + tech_5_2*TblTech[[#This Row],[5-2]])</f>
        <v>180.4</v>
      </c>
      <c r="AR53" s="113">
        <f ca="1">TblProd[[#This Row],[Mana]]*mana_drain * (1 + tech_2_1*TblTech[[#This Row],[2-1]] + tech_2_8*TblTech[[#This Row],[2-8]])</f>
        <v>104.67</v>
      </c>
      <c r="AS53" s="200"/>
      <c r="AT53" s="113">
        <f ca="1">TblExplore[[#This Row],[Platinum (2)]]+TblConstr[[#This Row],[Total Plat Cost]]+TblMili[[#This Row],[Plat Cost]]+TblRezone[[#This Row],[Platinum cost]]+TblImps[[#This Row],[P1]]-TblProd[[#This Row],[Bank Plat]]</f>
        <v>6392</v>
      </c>
      <c r="AU53" s="113">
        <f ca="1">TblConstr[[#This Row],[Total Lum Cost]]+TblImps[[#This Row],[L1]]-TblProd[[#This Row],[Bank Lumber]] + Military!$CH$25*TblMili[[#This Row],[Sec. rec. Cost]]</f>
        <v>864</v>
      </c>
      <c r="AV53" s="113">
        <f ca="1">TblMagic[[#This Row],[Mana cost]] + Military!$CH$26*TblMili[[#This Row],[Sec. rec. Cost]]</f>
        <v>1482.5</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44406.791666666548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218669</v>
      </c>
      <c r="BJ53" s="113">
        <f ca="1">TblProd[[#This Row],[Food]]</f>
        <v>88117</v>
      </c>
      <c r="BK53" s="113">
        <f ca="1">TblProd[[#This Row],[Lumber]]</f>
        <v>18040</v>
      </c>
      <c r="BL53" s="113">
        <f ca="1">TblProd[[#This Row],[Mana]]</f>
        <v>5233.5</v>
      </c>
      <c r="BM53" s="113">
        <f ca="1">TblProd[[#This Row],[Ore]]</f>
        <v>33000</v>
      </c>
    </row>
    <row r="54" spans="1:65" x14ac:dyDescent="0.2">
      <c r="A54" s="178">
        <v>51</v>
      </c>
      <c r="B54" s="198">
        <f ca="1">TblImps[[#This Row],[Time]]</f>
        <v>44406.833333333212</v>
      </c>
      <c r="C54" s="199"/>
      <c r="D54" s="200"/>
      <c r="E54" s="113">
        <f ca="1">TblConstr[[#This Row],[Land]]</f>
        <v>600</v>
      </c>
      <c r="F54" s="113">
        <f ca="1">TblPop[[#This Row],[Peasants]]</f>
        <v>8149</v>
      </c>
      <c r="G54" s="113">
        <f ca="1">TblMili[[#This Row],[Networth (2)]]</f>
        <v>14420</v>
      </c>
      <c r="H54" s="113">
        <f ca="1">OFFSET(TblProd[[#This Row],[Platinum]],-1,0)+OFFSET(TblProd[[#This Row],[Plat/hr]],-1,0) - TblProd[[#This Row],[Expenses Platinum]] + IF(TblProd[[#This Row],[Plat Bonus]],TblPop[[#This Row],[Peasants]]*4) + SUM(TblConstr[[#This Row],[Dest Hom]:[Dest Doc]])*TblConstr[[#This Row],[CPA Platinum -DB]]*tech_3_3_2*TblTech[[#This Row],[3-3]]</f>
        <v>248345</v>
      </c>
      <c r="I54" s="113">
        <f ca="1">OFFSET(TblProd[[#This Row],[Food]],-1,0)+OFFSET(TblProd[[#This Row],[Food/hr]],-1,0)+ROUNDUP((TblConstr[[#This Row],[Farms]]*80+TblConstr[[#This Row],[Docks]]*35)*(1+OFFSET(TblProd[[#This Row],[Bonus Food/hr]],-1,0)),0)</f>
        <v>88424</v>
      </c>
      <c r="J54" s="113">
        <f ca="1">OFFSET(TblProd[[#This Row],[Lumber]],-1,0)+OFFSET(TblProd[[#This Row],[Lumber/hr]],-1,0) - TblProd[[#This Row],[Expenses Lumber]] + SUM(TblConstr[[#This Row],[Dest Hom]:[Dest Doc]])*TblConstr[[#This Row],[CPA Lumber -DB]]*tech_3_3_2*TblTech[[#This Row],[3-3]]</f>
        <v>18090</v>
      </c>
      <c r="K54" s="113">
        <f ca="1">OFFSET(TblProd[[#This Row],[Mana]],-1,0)+OFFSET(TblProd[[#This Row],[Mana/hr]],-1,0)- TblProd[[#This Row],[Expenses Mana]]</f>
        <v>5503.5</v>
      </c>
      <c r="L54" s="113">
        <f ca="1">OFFSET(TblProd[[#This Row],[Ore]],-1,0)+OFFSET(TblProd[[#This Row],[Ore/hr]],-1,0) -TblProd[[#This Row],[Expenses Ore]]</f>
        <v>34800</v>
      </c>
      <c r="M54" s="113">
        <f ca="1">OFFSET(TblProd[[#This Row],[Gems]],-1,0)+OFFSET(TblProd[[#This Row],[Gems/hr]],-1,0) - TblProd[[#This Row],[Expenses Gems]]</f>
        <v>0</v>
      </c>
      <c r="N54" s="113">
        <f ca="1">OFFSET(TblProd[[#This Row],[Boats]],-1,0)+OFFSET(TblProd[[#This Row],[Boats/hr]],-1,0)</f>
        <v>27</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1500</v>
      </c>
      <c r="Q54" s="113">
        <v>10000</v>
      </c>
      <c r="R54" s="184"/>
      <c r="S54" s="113">
        <f ca="1">ROUNDDOWN(TblProd[[#This Row],[Raw Plat/hr]]*(1+TblProd[[#This Row],[Bonus Plat/hr]]),0)</f>
        <v>37270</v>
      </c>
      <c r="T54" s="113">
        <f ca="1">ROUND(TblProd[[#This Row],[Raw Food/hr]]*(1+TblProd[[#This Row],[Bonus Food/hr]])-TblProd[[#This Row],[Food decay]]-TblProd[[#This Row],[Food eaten]],0)</f>
        <v>205</v>
      </c>
      <c r="U54" s="113">
        <f ca="1">ROUND(TblProd[[#This Row],[Raw Lumber/hr]]*(1+TblProd[[#This Row],[Bonus Lumber/hr]])-TblProd[[#This Row],[Lumber rot]],0)</f>
        <v>819</v>
      </c>
      <c r="V54" s="113">
        <f ca="1">ROUND(TblProd[[#This Row],[Raw Mana/hr]]*(1+TblProd[[#This Row],[Bonus Mana/hr]])-TblProd[[#This Row],[Mana drain]],0)</f>
        <v>265</v>
      </c>
      <c r="W54" s="113">
        <f ca="1">ROUNDDOWN(TblProd[[#This Row],[Raw Ore/hr]]*(1+TblProd[[#This Row],[Bonux Ore/hr]]),0)</f>
        <v>1800</v>
      </c>
      <c r="X54" s="113">
        <f ca="1">ROUNDDOWN(TblProd[[#This Row],[Raw Gems/hr]]*(1+TblProd[[#This Row],[Bonus Gems/hr]]),0)</f>
        <v>0</v>
      </c>
      <c r="Y54" s="201">
        <f ca="1">OFFSET(TblConstr[[#This Row],[Tot Doc]],1,0)*dock_boats_hr * (1 + tech_4_1*TblTech[[#This Row],[4-1]])</f>
        <v>1</v>
      </c>
      <c r="Z54" s="200"/>
      <c r="AA54" s="113">
        <f ca="1">TblPop[[#This Row],[Peasants]]*tax*TblPop[[#This Row],[Employment]] + (Construction!AZ55+Construction!BX55)*(alch_plat+(Magic!AL54&gt;0)*alchemist_flame_bonus)</f>
        <v>33882.300000000003</v>
      </c>
      <c r="AB54" s="113">
        <f ca="1">TblConstr[[#This Row],[Tot Farm]]*farm_food + TblConstr[[#This Row],[Tot Doc]]*dock_food</f>
        <v>3100</v>
      </c>
      <c r="AC54" s="113">
        <f ca="1">TblConstr[[#This Row],[Tot Ly]]*ly_lumber + TblConstr[[#This Row],[Tot Hav]]*fh_lumber</f>
        <v>1000</v>
      </c>
      <c r="AD54" s="113">
        <f ca="1">OFFSET(TblConstr[[#This Row],[Tot Tow]],1,0)*(tower_mana + tech_4_5*TblTech[[#This Row],[4-5]])</f>
        <v>375</v>
      </c>
      <c r="AE54" s="113">
        <f ca="1">OFFSET(TblConstr[[#This Row],[Tot OM]],1,0)*om_ore+IF(race="Dwarf",ROUNDDOWN(TblMili[[#This Row],[Unit 2]]/2,0),)</f>
        <v>1800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0.1</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884.24</v>
      </c>
      <c r="AP54" s="113">
        <f ca="1">(1+race_food_consumption)*TblPop[[#This Row],[Total]]*food_per_person*(1+tech_1_10*TblTech[[#This Row],[1-10]]+tech_7_5*TblTech[[#This Row],[7-5]])</f>
        <v>2243</v>
      </c>
      <c r="AQ54" s="113">
        <f ca="1">TblProd[[#This Row],[Lumber]]*lumber_rot * (1 + tech_2_1*TblTech[[#This Row],[2-1]] + tech_2_8*TblTech[[#This Row],[2-8]] + tech_5_2*TblTech[[#This Row],[5-2]])</f>
        <v>180.9</v>
      </c>
      <c r="AR54" s="113">
        <f ca="1">TblProd[[#This Row],[Mana]]*mana_drain * (1 + tech_2_1*TblTech[[#This Row],[2-1]] + tech_2_8*TblTech[[#This Row],[2-8]])</f>
        <v>110.07000000000001</v>
      </c>
      <c r="AS54" s="200"/>
      <c r="AT54" s="113">
        <f ca="1">TblExplore[[#This Row],[Platinum (2)]]+TblConstr[[#This Row],[Total Plat Cost]]+TblMili[[#This Row],[Plat Cost]]+TblRezone[[#This Row],[Platinum cost]]+TblImps[[#This Row],[P1]]-TblProd[[#This Row],[Bank Plat]]</f>
        <v>5663</v>
      </c>
      <c r="AU54" s="113">
        <f ca="1">TblConstr[[#This Row],[Total Lum Cost]]+TblImps[[#This Row],[L1]]-TblProd[[#This Row],[Bank Lumber]] + Military!$CH$25*TblMili[[#This Row],[Sec. rec. Cost]]</f>
        <v>770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44406.833333333212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248345</v>
      </c>
      <c r="BJ54" s="113">
        <f ca="1">TblProd[[#This Row],[Food]]</f>
        <v>88424</v>
      </c>
      <c r="BK54" s="113">
        <f ca="1">TblProd[[#This Row],[Lumber]]</f>
        <v>18090</v>
      </c>
      <c r="BL54" s="113">
        <f ca="1">TblProd[[#This Row],[Mana]]</f>
        <v>5503.5</v>
      </c>
      <c r="BM54" s="113">
        <f ca="1">TblProd[[#This Row],[Ore]]</f>
        <v>34800</v>
      </c>
    </row>
    <row r="55" spans="1:65" x14ac:dyDescent="0.2">
      <c r="A55" s="178">
        <v>52</v>
      </c>
      <c r="B55" s="198">
        <f ca="1">TblImps[[#This Row],[Time]]</f>
        <v>44406.874999999876</v>
      </c>
      <c r="C55" s="199"/>
      <c r="D55" s="200"/>
      <c r="E55" s="113">
        <f ca="1">TblConstr[[#This Row],[Land]]</f>
        <v>600</v>
      </c>
      <c r="F55" s="113">
        <f ca="1">TblPop[[#This Row],[Peasants]]</f>
        <v>8475</v>
      </c>
      <c r="G55" s="113">
        <f ca="1">TblMili[[#This Row],[Networth (2)]]</f>
        <v>14520</v>
      </c>
      <c r="H55" s="113">
        <f ca="1">OFFSET(TblProd[[#This Row],[Platinum]],-1,0)+OFFSET(TblProd[[#This Row],[Plat/hr]],-1,0) - TblProd[[#This Row],[Expenses Platinum]] + IF(TblProd[[#This Row],[Plat Bonus]],TblPop[[#This Row],[Peasants]]*4) + SUM(TblConstr[[#This Row],[Dest Hom]:[Dest Doc]])*TblConstr[[#This Row],[CPA Platinum -DB]]*tech_3_3_2*TblTech[[#This Row],[3-3]]</f>
        <v>285615</v>
      </c>
      <c r="I55" s="113">
        <f ca="1">OFFSET(TblProd[[#This Row],[Food]],-1,0)+OFFSET(TblProd[[#This Row],[Food/hr]],-1,0)+ROUNDUP((TblConstr[[#This Row],[Farms]]*80+TblConstr[[#This Row],[Docks]]*35)*(1+OFFSET(TblProd[[#This Row],[Bonus Food/hr]],-1,0)),0)</f>
        <v>88629</v>
      </c>
      <c r="J55" s="113">
        <f ca="1">OFFSET(TblProd[[#This Row],[Lumber]],-1,0)+OFFSET(TblProd[[#This Row],[Lumber/hr]],-1,0) - TblProd[[#This Row],[Expenses Lumber]] + SUM(TblConstr[[#This Row],[Dest Hom]:[Dest Doc]])*TblConstr[[#This Row],[CPA Lumber -DB]]*tech_3_3_2*TblTech[[#This Row],[3-3]]</f>
        <v>18909</v>
      </c>
      <c r="K55" s="113">
        <f ca="1">OFFSET(TblProd[[#This Row],[Mana]],-1,0)+OFFSET(TblProd[[#This Row],[Mana/hr]],-1,0)- TblProd[[#This Row],[Expenses Mana]]</f>
        <v>4268.5</v>
      </c>
      <c r="L55" s="113">
        <f ca="1">OFFSET(TblProd[[#This Row],[Ore]],-1,0)+OFFSET(TblProd[[#This Row],[Ore/hr]],-1,0) -TblProd[[#This Row],[Expenses Ore]]</f>
        <v>36600</v>
      </c>
      <c r="M55" s="113">
        <f ca="1">OFFSET(TblProd[[#This Row],[Gems]],-1,0)+OFFSET(TblProd[[#This Row],[Gems/hr]],-1,0) - TblProd[[#This Row],[Expenses Gems]]</f>
        <v>0</v>
      </c>
      <c r="N55" s="113">
        <f ca="1">OFFSET(TblProd[[#This Row],[Boats]],-1,0)+OFFSET(TblProd[[#This Row],[Boats/hr]],-1,0)</f>
        <v>28</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1500</v>
      </c>
      <c r="Q55" s="113">
        <v>10000</v>
      </c>
      <c r="R55" s="184"/>
      <c r="S55" s="113">
        <f ca="1">ROUNDDOWN(TblProd[[#This Row],[Raw Plat/hr]]*(1+TblProd[[#This Row],[Bonus Plat/hr]]),0)</f>
        <v>38238</v>
      </c>
      <c r="T55" s="113">
        <f ca="1">ROUND(TblProd[[#This Row],[Raw Food/hr]]*(1+TblProd[[#This Row],[Bonus Food/hr]])-TblProd[[#This Row],[Food decay]]-TblProd[[#This Row],[Food eaten]],0)</f>
        <v>101</v>
      </c>
      <c r="U55" s="113">
        <f ca="1">ROUND(TblProd[[#This Row],[Raw Lumber/hr]]*(1+TblProd[[#This Row],[Bonus Lumber/hr]])-TblProd[[#This Row],[Lumber rot]],0)</f>
        <v>811</v>
      </c>
      <c r="V55" s="113">
        <f ca="1">ROUND(TblProd[[#This Row],[Raw Mana/hr]]*(1+TblProd[[#This Row],[Bonus Mana/hr]])-TblProd[[#This Row],[Mana drain]],0)</f>
        <v>290</v>
      </c>
      <c r="W55" s="113">
        <f ca="1">ROUNDDOWN(TblProd[[#This Row],[Raw Ore/hr]]*(1+TblProd[[#This Row],[Bonux Ore/hr]]),0)</f>
        <v>1800</v>
      </c>
      <c r="X55" s="113">
        <f ca="1">ROUNDDOWN(TblProd[[#This Row],[Raw Gems/hr]]*(1+TblProd[[#This Row],[Bonus Gems/hr]]),0)</f>
        <v>0</v>
      </c>
      <c r="Y55" s="201">
        <f ca="1">OFFSET(TblConstr[[#This Row],[Tot Doc]],1,0)*dock_boats_hr * (1 + tech_4_1*TblTech[[#This Row],[4-1]])</f>
        <v>1</v>
      </c>
      <c r="Z55" s="200"/>
      <c r="AA55" s="113">
        <f ca="1">TblPop[[#This Row],[Peasants]]*tax*TblPop[[#This Row],[Employment]] + (Construction!AZ56+Construction!BX56)*(alch_plat+(Magic!AL55&gt;0)*alchemist_flame_bonus)</f>
        <v>34762.5</v>
      </c>
      <c r="AB55" s="113">
        <f ca="1">TblConstr[[#This Row],[Tot Farm]]*farm_food + TblConstr[[#This Row],[Tot Doc]]*dock_food</f>
        <v>3100</v>
      </c>
      <c r="AC55" s="113">
        <f ca="1">TblConstr[[#This Row],[Tot Ly]]*ly_lumber + TblConstr[[#This Row],[Tot Hav]]*fh_lumber</f>
        <v>1000</v>
      </c>
      <c r="AD55" s="113">
        <f ca="1">OFFSET(TblConstr[[#This Row],[Tot Tow]],1,0)*(tower_mana + tech_4_5*TblTech[[#This Row],[4-5]])</f>
        <v>375</v>
      </c>
      <c r="AE55" s="113">
        <f ca="1">OFFSET(TblConstr[[#This Row],[Tot OM]],1,0)*om_ore+IF(race="Dwarf",ROUNDDOWN(TblMili[[#This Row],[Unit 2]]/2,0),)</f>
        <v>1800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0.1</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886.29</v>
      </c>
      <c r="AP55" s="113">
        <f ca="1">(1+race_food_consumption)*TblPop[[#This Row],[Total]]*food_per_person*(1+tech_1_10*TblTech[[#This Row],[1-10]]+tech_7_5*TblTech[[#This Row],[7-5]])</f>
        <v>2344.75</v>
      </c>
      <c r="AQ55" s="113">
        <f ca="1">TblProd[[#This Row],[Lumber]]*lumber_rot * (1 + tech_2_1*TblTech[[#This Row],[2-1]] + tech_2_8*TblTech[[#This Row],[2-8]] + tech_5_2*TblTech[[#This Row],[5-2]])</f>
        <v>189.09</v>
      </c>
      <c r="AR55" s="113">
        <f ca="1">TblProd[[#This Row],[Mana]]*mana_drain * (1 + tech_2_1*TblTech[[#This Row],[2-1]] + tech_2_8*TblTech[[#This Row],[2-8]])</f>
        <v>85.37</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1500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44406.874999999876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285615</v>
      </c>
      <c r="BJ55" s="113">
        <f ca="1">TblProd[[#This Row],[Food]]</f>
        <v>88629</v>
      </c>
      <c r="BK55" s="113">
        <f ca="1">TblProd[[#This Row],[Lumber]]</f>
        <v>18909</v>
      </c>
      <c r="BL55" s="113">
        <f ca="1">TblProd[[#This Row],[Mana]]</f>
        <v>4268.5</v>
      </c>
      <c r="BM55" s="113">
        <f ca="1">TblProd[[#This Row],[Ore]]</f>
        <v>36600</v>
      </c>
    </row>
    <row r="56" spans="1:65" x14ac:dyDescent="0.2">
      <c r="A56" s="178">
        <v>53</v>
      </c>
      <c r="B56" s="198">
        <f ca="1">TblImps[[#This Row],[Time]]</f>
        <v>44406.916666666541</v>
      </c>
      <c r="C56" s="199"/>
      <c r="D56" s="200"/>
      <c r="E56" s="113">
        <f ca="1">TblConstr[[#This Row],[Land]]</f>
        <v>600</v>
      </c>
      <c r="F56" s="113">
        <f ca="1">TblPop[[#This Row],[Peasants]]</f>
        <v>8390</v>
      </c>
      <c r="G56" s="113">
        <f ca="1">TblMili[[#This Row],[Networth (2)]]</f>
        <v>14520</v>
      </c>
      <c r="H56" s="113">
        <f ca="1">OFFSET(TblProd[[#This Row],[Platinum]],-1,0)+OFFSET(TblProd[[#This Row],[Plat/hr]],-1,0) - TblProd[[#This Row],[Expenses Platinum]] + IF(TblProd[[#This Row],[Plat Bonus]],TblPop[[#This Row],[Peasants]]*4) + SUM(TblConstr[[#This Row],[Dest Hom]:[Dest Doc]])*TblConstr[[#This Row],[CPA Platinum -DB]]*tech_3_3_2*TblTech[[#This Row],[3-3]]</f>
        <v>323853</v>
      </c>
      <c r="I56" s="113">
        <f ca="1">OFFSET(TblProd[[#This Row],[Food]],-1,0)+OFFSET(TblProd[[#This Row],[Food/hr]],-1,0)+ROUNDUP((TblConstr[[#This Row],[Farms]]*80+TblConstr[[#This Row],[Docks]]*35)*(1+OFFSET(TblProd[[#This Row],[Bonus Food/hr]],-1,0)),0)</f>
        <v>88730</v>
      </c>
      <c r="J56" s="113">
        <f ca="1">OFFSET(TblProd[[#This Row],[Lumber]],-1,0)+OFFSET(TblProd[[#This Row],[Lumber/hr]],-1,0) - TblProd[[#This Row],[Expenses Lumber]] + SUM(TblConstr[[#This Row],[Dest Hom]:[Dest Doc]])*TblConstr[[#This Row],[CPA Lumber -DB]]*tech_3_3_2*TblTech[[#This Row],[3-3]]</f>
        <v>19720</v>
      </c>
      <c r="K56" s="113">
        <f ca="1">OFFSET(TblProd[[#This Row],[Mana]],-1,0)+OFFSET(TblProd[[#This Row],[Mana/hr]],-1,0)- TblProd[[#This Row],[Expenses Mana]]</f>
        <v>4558.5</v>
      </c>
      <c r="L56" s="113">
        <f ca="1">OFFSET(TblProd[[#This Row],[Ore]],-1,0)+OFFSET(TblProd[[#This Row],[Ore/hr]],-1,0) -TblProd[[#This Row],[Expenses Ore]]</f>
        <v>38400</v>
      </c>
      <c r="M56" s="113">
        <f ca="1">OFFSET(TblProd[[#This Row],[Gems]],-1,0)+OFFSET(TblProd[[#This Row],[Gems/hr]],-1,0) - TblProd[[#This Row],[Expenses Gems]]</f>
        <v>0</v>
      </c>
      <c r="N56" s="113">
        <f ca="1">OFFSET(TblProd[[#This Row],[Boats]],-1,0)+OFFSET(TblProd[[#This Row],[Boats/hr]],-1,0)</f>
        <v>29</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1500</v>
      </c>
      <c r="Q56" s="113">
        <v>10000</v>
      </c>
      <c r="R56" s="184"/>
      <c r="S56" s="113">
        <f ca="1">ROUNDDOWN(TblProd[[#This Row],[Raw Plat/hr]]*(1+TblProd[[#This Row],[Bonus Plat/hr]]),0)</f>
        <v>37986</v>
      </c>
      <c r="T56" s="113">
        <f ca="1">ROUND(TblProd[[#This Row],[Raw Food/hr]]*(1+TblProd[[#This Row],[Bonus Food/hr]])-TblProd[[#This Row],[Food decay]]-TblProd[[#This Row],[Food eaten]],0)</f>
        <v>100</v>
      </c>
      <c r="U56" s="113">
        <f ca="1">ROUND(TblProd[[#This Row],[Raw Lumber/hr]]*(1+TblProd[[#This Row],[Bonus Lumber/hr]])-TblProd[[#This Row],[Lumber rot]],0)</f>
        <v>803</v>
      </c>
      <c r="V56" s="113">
        <f ca="1">ROUND(TblProd[[#This Row],[Raw Mana/hr]]*(1+TblProd[[#This Row],[Bonus Mana/hr]])-TblProd[[#This Row],[Mana drain]],0)</f>
        <v>284</v>
      </c>
      <c r="W56" s="113">
        <f ca="1">ROUNDDOWN(TblProd[[#This Row],[Raw Ore/hr]]*(1+TblProd[[#This Row],[Bonux Ore/hr]]),0)</f>
        <v>1800</v>
      </c>
      <c r="X56" s="113">
        <f ca="1">ROUNDDOWN(TblProd[[#This Row],[Raw Gems/hr]]*(1+TblProd[[#This Row],[Bonus Gems/hr]]),0)</f>
        <v>0</v>
      </c>
      <c r="Y56" s="201">
        <f ca="1">OFFSET(TblConstr[[#This Row],[Tot Doc]],1,0)*dock_boats_hr * (1 + tech_4_1*TblTech[[#This Row],[4-1]])</f>
        <v>1</v>
      </c>
      <c r="Z56" s="200"/>
      <c r="AA56" s="113">
        <f ca="1">TblPop[[#This Row],[Peasants]]*tax*TblPop[[#This Row],[Employment]] + (Construction!AZ57+Construction!BX57)*(alch_plat+(Magic!AL56&gt;0)*alchemist_flame_bonus)</f>
        <v>34533</v>
      </c>
      <c r="AB56" s="113">
        <f ca="1">TblConstr[[#This Row],[Tot Farm]]*farm_food + TblConstr[[#This Row],[Tot Doc]]*dock_food</f>
        <v>3100</v>
      </c>
      <c r="AC56" s="113">
        <f ca="1">TblConstr[[#This Row],[Tot Ly]]*ly_lumber + TblConstr[[#This Row],[Tot Hav]]*fh_lumber</f>
        <v>1000</v>
      </c>
      <c r="AD56" s="113">
        <f ca="1">OFFSET(TblConstr[[#This Row],[Tot Tow]],1,0)*(tower_mana + tech_4_5*TblTech[[#This Row],[4-5]])</f>
        <v>375</v>
      </c>
      <c r="AE56" s="113">
        <f ca="1">OFFSET(TblConstr[[#This Row],[Tot OM]],1,0)*om_ore+IF(race="Dwarf",ROUNDDOWN(TblMili[[#This Row],[Unit 2]]/2,0),)</f>
        <v>1800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0.1</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887.30000000000007</v>
      </c>
      <c r="AP56" s="113">
        <f ca="1">(1+race_food_consumption)*TblPop[[#This Row],[Total]]*food_per_person*(1+tech_1_10*TblTech[[#This Row],[1-10]]+tech_7_5*TblTech[[#This Row],[7-5]])</f>
        <v>2344.75</v>
      </c>
      <c r="AQ56" s="113">
        <f ca="1">TblProd[[#This Row],[Lumber]]*lumber_rot * (1 + tech_2_1*TblTech[[#This Row],[2-1]] + tech_2_8*TblTech[[#This Row],[2-8]] + tech_5_2*TblTech[[#This Row],[5-2]])</f>
        <v>197.20000000000002</v>
      </c>
      <c r="AR56" s="113">
        <f ca="1">TblProd[[#This Row],[Mana]]*mana_drain * (1 + tech_2_1*TblTech[[#This Row],[2-1]] + tech_2_8*TblTech[[#This Row],[2-8]])</f>
        <v>91.17</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44406.916666666541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323853</v>
      </c>
      <c r="BJ56" s="113">
        <f ca="1">TblProd[[#This Row],[Food]]</f>
        <v>88730</v>
      </c>
      <c r="BK56" s="113">
        <f ca="1">TblProd[[#This Row],[Lumber]]</f>
        <v>19720</v>
      </c>
      <c r="BL56" s="113">
        <f ca="1">TblProd[[#This Row],[Mana]]</f>
        <v>4558.5</v>
      </c>
      <c r="BM56" s="113">
        <f ca="1">TblProd[[#This Row],[Ore]]</f>
        <v>38400</v>
      </c>
    </row>
    <row r="57" spans="1:65" x14ac:dyDescent="0.2">
      <c r="A57" s="178">
        <v>54</v>
      </c>
      <c r="B57" s="198">
        <f ca="1">TblImps[[#This Row],[Time]]</f>
        <v>44406.958333333205</v>
      </c>
      <c r="C57" s="199"/>
      <c r="D57" s="200"/>
      <c r="E57" s="113">
        <f ca="1">TblConstr[[#This Row],[Land]]</f>
        <v>600</v>
      </c>
      <c r="F57" s="113">
        <f ca="1">TblPop[[#This Row],[Peasants]]</f>
        <v>8306</v>
      </c>
      <c r="G57" s="113">
        <f ca="1">TblMili[[#This Row],[Networth (2)]]</f>
        <v>14520</v>
      </c>
      <c r="H57" s="113">
        <f ca="1">OFFSET(TblProd[[#This Row],[Platinum]],-1,0)+OFFSET(TblProd[[#This Row],[Plat/hr]],-1,0) - TblProd[[#This Row],[Expenses Platinum]] + IF(TblProd[[#This Row],[Plat Bonus]],TblPop[[#This Row],[Peasants]]*4) + SUM(TblConstr[[#This Row],[Dest Hom]:[Dest Doc]])*TblConstr[[#This Row],[CPA Platinum -DB]]*tech_3_3_2*TblTech[[#This Row],[3-3]]</f>
        <v>361839</v>
      </c>
      <c r="I57" s="113">
        <f ca="1">OFFSET(TblProd[[#This Row],[Food]],-1,0)+OFFSET(TblProd[[#This Row],[Food/hr]],-1,0)+ROUNDUP((TblConstr[[#This Row],[Farms]]*80+TblConstr[[#This Row],[Docks]]*35)*(1+OFFSET(TblProd[[#This Row],[Bonus Food/hr]],-1,0)),0)</f>
        <v>88830</v>
      </c>
      <c r="J57" s="113">
        <f ca="1">OFFSET(TblProd[[#This Row],[Lumber]],-1,0)+OFFSET(TblProd[[#This Row],[Lumber/hr]],-1,0) - TblProd[[#This Row],[Expenses Lumber]] + SUM(TblConstr[[#This Row],[Dest Hom]:[Dest Doc]])*TblConstr[[#This Row],[CPA Lumber -DB]]*tech_3_3_2*TblTech[[#This Row],[3-3]]</f>
        <v>20523</v>
      </c>
      <c r="K57" s="113">
        <f ca="1">OFFSET(TblProd[[#This Row],[Mana]],-1,0)+OFFSET(TblProd[[#This Row],[Mana/hr]],-1,0)- TblProd[[#This Row],[Expenses Mana]]</f>
        <v>4842.5</v>
      </c>
      <c r="L57" s="113">
        <f ca="1">OFFSET(TblProd[[#This Row],[Ore]],-1,0)+OFFSET(TblProd[[#This Row],[Ore/hr]],-1,0) -TblProd[[#This Row],[Expenses Ore]]</f>
        <v>40200</v>
      </c>
      <c r="M57" s="113">
        <f ca="1">OFFSET(TblProd[[#This Row],[Gems]],-1,0)+OFFSET(TblProd[[#This Row],[Gems/hr]],-1,0) - TblProd[[#This Row],[Expenses Gems]]</f>
        <v>0</v>
      </c>
      <c r="N57" s="113">
        <f ca="1">OFFSET(TblProd[[#This Row],[Boats]],-1,0)+OFFSET(TblProd[[#This Row],[Boats/hr]],-1,0)</f>
        <v>30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1500</v>
      </c>
      <c r="Q57" s="113">
        <v>10000</v>
      </c>
      <c r="R57" s="184"/>
      <c r="S57" s="113">
        <f ca="1">ROUNDDOWN(TblProd[[#This Row],[Raw Plat/hr]]*(1+TblProd[[#This Row],[Bonus Plat/hr]]),0)</f>
        <v>37736</v>
      </c>
      <c r="T57" s="113">
        <f ca="1">ROUND(TblProd[[#This Row],[Raw Food/hr]]*(1+TblProd[[#This Row],[Bonus Food/hr]])-TblProd[[#This Row],[Food decay]]-TblProd[[#This Row],[Food eaten]],0)</f>
        <v>99</v>
      </c>
      <c r="U57" s="113">
        <f ca="1">ROUND(TblProd[[#This Row],[Raw Lumber/hr]]*(1+TblProd[[#This Row],[Bonus Lumber/hr]])-TblProd[[#This Row],[Lumber rot]],0)</f>
        <v>795</v>
      </c>
      <c r="V57" s="113">
        <f ca="1">ROUND(TblProd[[#This Row],[Raw Mana/hr]]*(1+TblProd[[#This Row],[Bonus Mana/hr]])-TblProd[[#This Row],[Mana drain]],0)</f>
        <v>278</v>
      </c>
      <c r="W57" s="113">
        <f ca="1">ROUNDDOWN(TblProd[[#This Row],[Raw Ore/hr]]*(1+TblProd[[#This Row],[Bonux Ore/hr]]),0)</f>
        <v>1800</v>
      </c>
      <c r="X57" s="113">
        <f ca="1">ROUNDDOWN(TblProd[[#This Row],[Raw Gems/hr]]*(1+TblProd[[#This Row],[Bonus Gems/hr]]),0)</f>
        <v>0</v>
      </c>
      <c r="Y57" s="201">
        <f ca="1">OFFSET(TblConstr[[#This Row],[Tot Doc]],1,0)*dock_boats_hr * (1 + tech_4_1*TblTech[[#This Row],[4-1]])</f>
        <v>1</v>
      </c>
      <c r="Z57" s="200"/>
      <c r="AA57" s="113">
        <f ca="1">TblPop[[#This Row],[Peasants]]*tax*TblPop[[#This Row],[Employment]] + (Construction!AZ58+Construction!BX58)*(alch_plat+(Magic!AL57&gt;0)*alchemist_flame_bonus)</f>
        <v>34306.199999999997</v>
      </c>
      <c r="AB57" s="113">
        <f ca="1">TblConstr[[#This Row],[Tot Farm]]*farm_food + TblConstr[[#This Row],[Tot Doc]]*dock_food</f>
        <v>3100</v>
      </c>
      <c r="AC57" s="113">
        <f ca="1">TblConstr[[#This Row],[Tot Ly]]*ly_lumber + TblConstr[[#This Row],[Tot Hav]]*fh_lumber</f>
        <v>1000</v>
      </c>
      <c r="AD57" s="113">
        <f ca="1">OFFSET(TblConstr[[#This Row],[Tot Tow]],1,0)*(tower_mana + tech_4_5*TblTech[[#This Row],[4-5]])</f>
        <v>375</v>
      </c>
      <c r="AE57" s="113">
        <f ca="1">OFFSET(TblConstr[[#This Row],[Tot OM]],1,0)*om_ore+IF(race="Dwarf",ROUNDDOWN(TblMili[[#This Row],[Unit 2]]/2,0),)</f>
        <v>1800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0.1</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888.30000000000007</v>
      </c>
      <c r="AP57" s="113">
        <f ca="1">(1+race_food_consumption)*TblPop[[#This Row],[Total]]*food_per_person*(1+tech_1_10*TblTech[[#This Row],[1-10]]+tech_7_5*TblTech[[#This Row],[7-5]])</f>
        <v>2344.75</v>
      </c>
      <c r="AQ57" s="113">
        <f ca="1">TblProd[[#This Row],[Lumber]]*lumber_rot * (1 + tech_2_1*TblTech[[#This Row],[2-1]] + tech_2_8*TblTech[[#This Row],[2-8]] + tech_5_2*TblTech[[#This Row],[5-2]])</f>
        <v>205.23000000000002</v>
      </c>
      <c r="AR57" s="113">
        <f ca="1">TblProd[[#This Row],[Mana]]*mana_drain * (1 + tech_2_1*TblTech[[#This Row],[2-1]] + tech_2_8*TblTech[[#This Row],[2-8]])</f>
        <v>96.850000000000009</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44406.958333333205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361839</v>
      </c>
      <c r="BJ57" s="113">
        <f ca="1">TblProd[[#This Row],[Food]]</f>
        <v>88830</v>
      </c>
      <c r="BK57" s="113">
        <f ca="1">TblProd[[#This Row],[Lumber]]</f>
        <v>20523</v>
      </c>
      <c r="BL57" s="113">
        <f ca="1">TblProd[[#This Row],[Mana]]</f>
        <v>4842.5</v>
      </c>
      <c r="BM57" s="113">
        <f ca="1">TblProd[[#This Row],[Ore]]</f>
        <v>40200</v>
      </c>
    </row>
    <row r="58" spans="1:65" x14ac:dyDescent="0.2">
      <c r="A58" s="178">
        <v>55</v>
      </c>
      <c r="B58" s="198">
        <f ca="1">TblImps[[#This Row],[Time]]</f>
        <v>44406.999999999869</v>
      </c>
      <c r="C58" s="199"/>
      <c r="D58" s="200"/>
      <c r="E58" s="113">
        <f ca="1">TblConstr[[#This Row],[Land]]</f>
        <v>600</v>
      </c>
      <c r="F58" s="113">
        <f ca="1">TblPop[[#This Row],[Peasants]]</f>
        <v>8223</v>
      </c>
      <c r="G58" s="113">
        <f ca="1">TblMili[[#This Row],[Networth (2)]]</f>
        <v>14520</v>
      </c>
      <c r="H58" s="113">
        <f ca="1">OFFSET(TblProd[[#This Row],[Platinum]],-1,0)+OFFSET(TblProd[[#This Row],[Plat/hr]],-1,0) - TblProd[[#This Row],[Expenses Platinum]] + IF(TblProd[[#This Row],[Plat Bonus]],TblPop[[#This Row],[Peasants]]*4) + SUM(TblConstr[[#This Row],[Dest Hom]:[Dest Doc]])*TblConstr[[#This Row],[CPA Platinum -DB]]*tech_3_3_2*TblTech[[#This Row],[3-3]]</f>
        <v>399575</v>
      </c>
      <c r="I58" s="113">
        <f ca="1">OFFSET(TblProd[[#This Row],[Food]],-1,0)+OFFSET(TblProd[[#This Row],[Food/hr]],-1,0)+ROUNDUP((TblConstr[[#This Row],[Farms]]*80+TblConstr[[#This Row],[Docks]]*35)*(1+OFFSET(TblProd[[#This Row],[Bonus Food/hr]],-1,0)),0)</f>
        <v>88929</v>
      </c>
      <c r="J58" s="113">
        <f ca="1">OFFSET(TblProd[[#This Row],[Lumber]],-1,0)+OFFSET(TblProd[[#This Row],[Lumber/hr]],-1,0) - TblProd[[#This Row],[Expenses Lumber]] + SUM(TblConstr[[#This Row],[Dest Hom]:[Dest Doc]])*TblConstr[[#This Row],[CPA Lumber -DB]]*tech_3_3_2*TblTech[[#This Row],[3-3]]</f>
        <v>21318</v>
      </c>
      <c r="K58" s="113">
        <f ca="1">OFFSET(TblProd[[#This Row],[Mana]],-1,0)+OFFSET(TblProd[[#This Row],[Mana/hr]],-1,0)- TblProd[[#This Row],[Expenses Mana]]</f>
        <v>5120.5</v>
      </c>
      <c r="L58" s="113">
        <f ca="1">OFFSET(TblProd[[#This Row],[Ore]],-1,0)+OFFSET(TblProd[[#This Row],[Ore/hr]],-1,0) -TblProd[[#This Row],[Expenses Ore]]</f>
        <v>42000</v>
      </c>
      <c r="M58" s="113">
        <f ca="1">OFFSET(TblProd[[#This Row],[Gems]],-1,0)+OFFSET(TblProd[[#This Row],[Gems/hr]],-1,0) - TblProd[[#This Row],[Expenses Gems]]</f>
        <v>0</v>
      </c>
      <c r="N58" s="113">
        <f ca="1">OFFSET(TblProd[[#This Row],[Boats]],-1,0)+OFFSET(TblProd[[#This Row],[Boats/hr]],-1,0)</f>
        <v>31</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1500</v>
      </c>
      <c r="Q58" s="113">
        <v>10000</v>
      </c>
      <c r="R58" s="184"/>
      <c r="S58" s="113">
        <f ca="1">ROUNDDOWN(TblProd[[#This Row],[Raw Plat/hr]]*(1+TblProd[[#This Row],[Bonus Plat/hr]]),0)</f>
        <v>37490</v>
      </c>
      <c r="T58" s="113">
        <f ca="1">ROUND(TblProd[[#This Row],[Raw Food/hr]]*(1+TblProd[[#This Row],[Bonus Food/hr]])-TblProd[[#This Row],[Food decay]]-TblProd[[#This Row],[Food eaten]],0)</f>
        <v>98</v>
      </c>
      <c r="U58" s="113">
        <f ca="1">ROUND(TblProd[[#This Row],[Raw Lumber/hr]]*(1+TblProd[[#This Row],[Bonus Lumber/hr]])-TblProd[[#This Row],[Lumber rot]],0)</f>
        <v>787</v>
      </c>
      <c r="V58" s="113">
        <f ca="1">ROUND(TblProd[[#This Row],[Raw Mana/hr]]*(1+TblProd[[#This Row],[Bonus Mana/hr]])-TblProd[[#This Row],[Mana drain]],0)</f>
        <v>273</v>
      </c>
      <c r="W58" s="113">
        <f ca="1">ROUNDDOWN(TblProd[[#This Row],[Raw Ore/hr]]*(1+TblProd[[#This Row],[Bonux Ore/hr]]),0)</f>
        <v>1800</v>
      </c>
      <c r="X58" s="113">
        <f ca="1">ROUNDDOWN(TblProd[[#This Row],[Raw Gems/hr]]*(1+TblProd[[#This Row],[Bonus Gems/hr]]),0)</f>
        <v>0</v>
      </c>
      <c r="Y58" s="201">
        <f ca="1">OFFSET(TblConstr[[#This Row],[Tot Doc]],1,0)*dock_boats_hr * (1 + tech_4_1*TblTech[[#This Row],[4-1]])</f>
        <v>1</v>
      </c>
      <c r="Z58" s="200"/>
      <c r="AA58" s="113">
        <f ca="1">TblPop[[#This Row],[Peasants]]*tax*TblPop[[#This Row],[Employment]] + (Construction!AZ59+Construction!BX59)*(alch_plat+(Magic!AL58&gt;0)*alchemist_flame_bonus)</f>
        <v>34082.100000000006</v>
      </c>
      <c r="AB58" s="113">
        <f ca="1">TblConstr[[#This Row],[Tot Farm]]*farm_food + TblConstr[[#This Row],[Tot Doc]]*dock_food</f>
        <v>3100</v>
      </c>
      <c r="AC58" s="113">
        <f ca="1">TblConstr[[#This Row],[Tot Ly]]*ly_lumber + TblConstr[[#This Row],[Tot Hav]]*fh_lumber</f>
        <v>1000</v>
      </c>
      <c r="AD58" s="113">
        <f ca="1">OFFSET(TblConstr[[#This Row],[Tot Tow]],1,0)*(tower_mana + tech_4_5*TblTech[[#This Row],[4-5]])</f>
        <v>375</v>
      </c>
      <c r="AE58" s="113">
        <f ca="1">OFFSET(TblConstr[[#This Row],[Tot OM]],1,0)*om_ore+IF(race="Dwarf",ROUNDDOWN(TblMili[[#This Row],[Unit 2]]/2,0),)</f>
        <v>1800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0.1</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889.29</v>
      </c>
      <c r="AP58" s="113">
        <f ca="1">(1+race_food_consumption)*TblPop[[#This Row],[Total]]*food_per_person*(1+tech_1_10*TblTech[[#This Row],[1-10]]+tech_7_5*TblTech[[#This Row],[7-5]])</f>
        <v>2344.75</v>
      </c>
      <c r="AQ58" s="113">
        <f ca="1">TblProd[[#This Row],[Lumber]]*lumber_rot * (1 + tech_2_1*TblTech[[#This Row],[2-1]] + tech_2_8*TblTech[[#This Row],[2-8]] + tech_5_2*TblTech[[#This Row],[5-2]])</f>
        <v>213.18</v>
      </c>
      <c r="AR58" s="113">
        <f ca="1">TblProd[[#This Row],[Mana]]*mana_drain * (1 + tech_2_1*TblTech[[#This Row],[2-1]] + tech_2_8*TblTech[[#This Row],[2-8]])</f>
        <v>102.41</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44406.999999999869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399575</v>
      </c>
      <c r="BJ58" s="113">
        <f ca="1">TblProd[[#This Row],[Food]]</f>
        <v>88929</v>
      </c>
      <c r="BK58" s="113">
        <f ca="1">TblProd[[#This Row],[Lumber]]</f>
        <v>21318</v>
      </c>
      <c r="BL58" s="113">
        <f ca="1">TblProd[[#This Row],[Mana]]</f>
        <v>5120.5</v>
      </c>
      <c r="BM58" s="113">
        <f ca="1">TblProd[[#This Row],[Ore]]</f>
        <v>42000</v>
      </c>
    </row>
    <row r="59" spans="1:65" x14ac:dyDescent="0.2">
      <c r="A59" s="178">
        <v>56</v>
      </c>
      <c r="B59" s="198">
        <f ca="1">TblImps[[#This Row],[Time]]</f>
        <v>44407.041666666533</v>
      </c>
      <c r="C59" s="199"/>
      <c r="D59" s="200"/>
      <c r="E59" s="113">
        <f ca="1">TblConstr[[#This Row],[Land]]</f>
        <v>600</v>
      </c>
      <c r="F59" s="113">
        <f ca="1">TblPop[[#This Row],[Peasants]]</f>
        <v>8141</v>
      </c>
      <c r="G59" s="113">
        <f ca="1">TblMili[[#This Row],[Networth (2)]]</f>
        <v>14520</v>
      </c>
      <c r="H59" s="113">
        <f ca="1">OFFSET(TblProd[[#This Row],[Platinum]],-1,0)+OFFSET(TblProd[[#This Row],[Plat/hr]],-1,0) - TblProd[[#This Row],[Expenses Platinum]] + IF(TblProd[[#This Row],[Plat Bonus]],TblPop[[#This Row],[Peasants]]*4) + SUM(TblConstr[[#This Row],[Dest Hom]:[Dest Doc]])*TblConstr[[#This Row],[CPA Platinum -DB]]*tech_3_3_2*TblTech[[#This Row],[3-3]]</f>
        <v>437065</v>
      </c>
      <c r="I59" s="113">
        <f ca="1">OFFSET(TblProd[[#This Row],[Food]],-1,0)+OFFSET(TblProd[[#This Row],[Food/hr]],-1,0)+ROUNDUP((TblConstr[[#This Row],[Farms]]*80+TblConstr[[#This Row],[Docks]]*35)*(1+OFFSET(TblProd[[#This Row],[Bonus Food/hr]],-1,0)),0)</f>
        <v>89027</v>
      </c>
      <c r="J59" s="113">
        <f ca="1">OFFSET(TblProd[[#This Row],[Lumber]],-1,0)+OFFSET(TblProd[[#This Row],[Lumber/hr]],-1,0) - TblProd[[#This Row],[Expenses Lumber]] + SUM(TblConstr[[#This Row],[Dest Hom]:[Dest Doc]])*TblConstr[[#This Row],[CPA Lumber -DB]]*tech_3_3_2*TblTech[[#This Row],[3-3]]</f>
        <v>22105</v>
      </c>
      <c r="K59" s="113">
        <f ca="1">OFFSET(TblProd[[#This Row],[Mana]],-1,0)+OFFSET(TblProd[[#This Row],[Mana/hr]],-1,0)- TblProd[[#This Row],[Expenses Mana]]</f>
        <v>5393.5</v>
      </c>
      <c r="L59" s="113">
        <f ca="1">OFFSET(TblProd[[#This Row],[Ore]],-1,0)+OFFSET(TblProd[[#This Row],[Ore/hr]],-1,0) -TblProd[[#This Row],[Expenses Ore]]</f>
        <v>43800</v>
      </c>
      <c r="M59" s="113">
        <f ca="1">OFFSET(TblProd[[#This Row],[Gems]],-1,0)+OFFSET(TblProd[[#This Row],[Gems/hr]],-1,0) - TblProd[[#This Row],[Expenses Gems]]</f>
        <v>0</v>
      </c>
      <c r="N59" s="113">
        <f ca="1">OFFSET(TblProd[[#This Row],[Boats]],-1,0)+OFFSET(TblProd[[#This Row],[Boats/hr]],-1,0)</f>
        <v>32</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1500</v>
      </c>
      <c r="Q59" s="113">
        <v>10000</v>
      </c>
      <c r="R59" s="184"/>
      <c r="S59" s="113">
        <f ca="1">ROUNDDOWN(TblProd[[#This Row],[Raw Plat/hr]]*(1+TblProd[[#This Row],[Bonus Plat/hr]]),0)</f>
        <v>37246</v>
      </c>
      <c r="T59" s="113">
        <f ca="1">ROUND(TblProd[[#This Row],[Raw Food/hr]]*(1+TblProd[[#This Row],[Bonus Food/hr]])-TblProd[[#This Row],[Food decay]]-TblProd[[#This Row],[Food eaten]],0)</f>
        <v>97</v>
      </c>
      <c r="U59" s="113">
        <f ca="1">ROUND(TblProd[[#This Row],[Raw Lumber/hr]]*(1+TblProd[[#This Row],[Bonus Lumber/hr]])-TblProd[[#This Row],[Lumber rot]],0)</f>
        <v>779</v>
      </c>
      <c r="V59" s="113">
        <f ca="1">ROUND(TblProd[[#This Row],[Raw Mana/hr]]*(1+TblProd[[#This Row],[Bonus Mana/hr]])-TblProd[[#This Row],[Mana drain]],0)</f>
        <v>267</v>
      </c>
      <c r="W59" s="113">
        <f ca="1">ROUNDDOWN(TblProd[[#This Row],[Raw Ore/hr]]*(1+TblProd[[#This Row],[Bonux Ore/hr]]),0)</f>
        <v>1800</v>
      </c>
      <c r="X59" s="113">
        <f ca="1">ROUNDDOWN(TblProd[[#This Row],[Raw Gems/hr]]*(1+TblProd[[#This Row],[Bonus Gems/hr]]),0)</f>
        <v>0</v>
      </c>
      <c r="Y59" s="201">
        <f ca="1">OFFSET(TblConstr[[#This Row],[Tot Doc]],1,0)*dock_boats_hr * (1 + tech_4_1*TblTech[[#This Row],[4-1]])</f>
        <v>1</v>
      </c>
      <c r="Z59" s="200"/>
      <c r="AA59" s="113">
        <f ca="1">TblPop[[#This Row],[Peasants]]*tax*TblPop[[#This Row],[Employment]] + (Construction!AZ60+Construction!BX60)*(alch_plat+(Magic!AL59&gt;0)*alchemist_flame_bonus)</f>
        <v>33860.699999999997</v>
      </c>
      <c r="AB59" s="113">
        <f ca="1">TblConstr[[#This Row],[Tot Farm]]*farm_food + TblConstr[[#This Row],[Tot Doc]]*dock_food</f>
        <v>3100</v>
      </c>
      <c r="AC59" s="113">
        <f ca="1">TblConstr[[#This Row],[Tot Ly]]*ly_lumber + TblConstr[[#This Row],[Tot Hav]]*fh_lumber</f>
        <v>1000</v>
      </c>
      <c r="AD59" s="113">
        <f ca="1">OFFSET(TblConstr[[#This Row],[Tot Tow]],1,0)*(tower_mana + tech_4_5*TblTech[[#This Row],[4-5]])</f>
        <v>375</v>
      </c>
      <c r="AE59" s="113">
        <f ca="1">OFFSET(TblConstr[[#This Row],[Tot OM]],1,0)*om_ore+IF(race="Dwarf",ROUNDDOWN(TblMili[[#This Row],[Unit 2]]/2,0),)</f>
        <v>1800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0.1</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890.27</v>
      </c>
      <c r="AP59" s="113">
        <f ca="1">(1+race_food_consumption)*TblPop[[#This Row],[Total]]*food_per_person*(1+tech_1_10*TblTech[[#This Row],[1-10]]+tech_7_5*TblTech[[#This Row],[7-5]])</f>
        <v>2344.75</v>
      </c>
      <c r="AQ59" s="113">
        <f ca="1">TblProd[[#This Row],[Lumber]]*lumber_rot * (1 + tech_2_1*TblTech[[#This Row],[2-1]] + tech_2_8*TblTech[[#This Row],[2-8]] + tech_5_2*TblTech[[#This Row],[5-2]])</f>
        <v>221.05</v>
      </c>
      <c r="AR59" s="113">
        <f ca="1">TblProd[[#This Row],[Mana]]*mana_drain * (1 + tech_2_1*TblTech[[#This Row],[2-1]] + tech_2_8*TblTech[[#This Row],[2-8]])</f>
        <v>107.87</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44407.041666666533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437065</v>
      </c>
      <c r="BJ59" s="113">
        <f ca="1">TblProd[[#This Row],[Food]]</f>
        <v>89027</v>
      </c>
      <c r="BK59" s="113">
        <f ca="1">TblProd[[#This Row],[Lumber]]</f>
        <v>22105</v>
      </c>
      <c r="BL59" s="113">
        <f ca="1">TblProd[[#This Row],[Mana]]</f>
        <v>5393.5</v>
      </c>
      <c r="BM59" s="113">
        <f ca="1">TblProd[[#This Row],[Ore]]</f>
        <v>43800</v>
      </c>
    </row>
    <row r="60" spans="1:65" x14ac:dyDescent="0.2">
      <c r="A60" s="178">
        <v>57</v>
      </c>
      <c r="B60" s="198">
        <f ca="1">TblImps[[#This Row],[Time]]</f>
        <v>44407.083333333198</v>
      </c>
      <c r="C60" s="199"/>
      <c r="D60" s="200"/>
      <c r="E60" s="113">
        <f ca="1">TblConstr[[#This Row],[Land]]</f>
        <v>600</v>
      </c>
      <c r="F60" s="113">
        <f ca="1">TblPop[[#This Row],[Peasants]]</f>
        <v>8060</v>
      </c>
      <c r="G60" s="113">
        <f ca="1">TblMili[[#This Row],[Networth (2)]]</f>
        <v>14520</v>
      </c>
      <c r="H60" s="113">
        <f ca="1">OFFSET(TblProd[[#This Row],[Platinum]],-1,0)+OFFSET(TblProd[[#This Row],[Plat/hr]],-1,0) - TblProd[[#This Row],[Expenses Platinum]] + IF(TblProd[[#This Row],[Plat Bonus]],TblPop[[#This Row],[Peasants]]*4) + SUM(TblConstr[[#This Row],[Dest Hom]:[Dest Doc]])*TblConstr[[#This Row],[CPA Platinum -DB]]*tech_3_3_2*TblTech[[#This Row],[3-3]]</f>
        <v>474311</v>
      </c>
      <c r="I60" s="113">
        <f ca="1">OFFSET(TblProd[[#This Row],[Food]],-1,0)+OFFSET(TblProd[[#This Row],[Food/hr]],-1,0)+ROUNDUP((TblConstr[[#This Row],[Farms]]*80+TblConstr[[#This Row],[Docks]]*35)*(1+OFFSET(TblProd[[#This Row],[Bonus Food/hr]],-1,0)),0)</f>
        <v>89124</v>
      </c>
      <c r="J60" s="113">
        <f ca="1">OFFSET(TblProd[[#This Row],[Lumber]],-1,0)+OFFSET(TblProd[[#This Row],[Lumber/hr]],-1,0) - TblProd[[#This Row],[Expenses Lumber]] + SUM(TblConstr[[#This Row],[Dest Hom]:[Dest Doc]])*TblConstr[[#This Row],[CPA Lumber -DB]]*tech_3_3_2*TblTech[[#This Row],[3-3]]</f>
        <v>22884</v>
      </c>
      <c r="K60" s="113">
        <f ca="1">OFFSET(TblProd[[#This Row],[Mana]],-1,0)+OFFSET(TblProd[[#This Row],[Mana/hr]],-1,0)- TblProd[[#This Row],[Expenses Mana]]</f>
        <v>5660.5</v>
      </c>
      <c r="L60" s="113">
        <f ca="1">OFFSET(TblProd[[#This Row],[Ore]],-1,0)+OFFSET(TblProd[[#This Row],[Ore/hr]],-1,0) -TblProd[[#This Row],[Expenses Ore]]</f>
        <v>45600</v>
      </c>
      <c r="M60" s="113">
        <f ca="1">OFFSET(TblProd[[#This Row],[Gems]],-1,0)+OFFSET(TblProd[[#This Row],[Gems/hr]],-1,0) - TblProd[[#This Row],[Expenses Gems]]</f>
        <v>0</v>
      </c>
      <c r="N60" s="113">
        <f ca="1">OFFSET(TblProd[[#This Row],[Boats]],-1,0)+OFFSET(TblProd[[#This Row],[Boats/hr]],-1,0)</f>
        <v>33</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1500</v>
      </c>
      <c r="Q60" s="113">
        <v>10000</v>
      </c>
      <c r="R60" s="184"/>
      <c r="S60" s="113">
        <f ca="1">ROUNDDOWN(TblProd[[#This Row],[Raw Plat/hr]]*(1+TblProd[[#This Row],[Bonus Plat/hr]]),0)</f>
        <v>37006</v>
      </c>
      <c r="T60" s="113">
        <f ca="1">ROUND(TblProd[[#This Row],[Raw Food/hr]]*(1+TblProd[[#This Row],[Bonus Food/hr]])-TblProd[[#This Row],[Food decay]]-TblProd[[#This Row],[Food eaten]],0)</f>
        <v>97</v>
      </c>
      <c r="U60" s="113">
        <f ca="1">ROUND(TblProd[[#This Row],[Raw Lumber/hr]]*(1+TblProd[[#This Row],[Bonus Lumber/hr]])-TblProd[[#This Row],[Lumber rot]],0)</f>
        <v>771</v>
      </c>
      <c r="V60" s="113">
        <f ca="1">ROUND(TblProd[[#This Row],[Raw Mana/hr]]*(1+TblProd[[#This Row],[Bonus Mana/hr]])-TblProd[[#This Row],[Mana drain]],0)</f>
        <v>262</v>
      </c>
      <c r="W60" s="113">
        <f ca="1">ROUNDDOWN(TblProd[[#This Row],[Raw Ore/hr]]*(1+TblProd[[#This Row],[Bonux Ore/hr]]),0)</f>
        <v>1800</v>
      </c>
      <c r="X60" s="113">
        <f ca="1">ROUNDDOWN(TblProd[[#This Row],[Raw Gems/hr]]*(1+TblProd[[#This Row],[Bonus Gems/hr]]),0)</f>
        <v>0</v>
      </c>
      <c r="Y60" s="201">
        <f ca="1">OFFSET(TblConstr[[#This Row],[Tot Doc]],1,0)*dock_boats_hr * (1 + tech_4_1*TblTech[[#This Row],[4-1]])</f>
        <v>1</v>
      </c>
      <c r="Z60" s="200"/>
      <c r="AA60" s="113">
        <f ca="1">TblPop[[#This Row],[Peasants]]*tax*TblPop[[#This Row],[Employment]] + (Construction!AZ61+Construction!BX61)*(alch_plat+(Magic!AL60&gt;0)*alchemist_flame_bonus)</f>
        <v>33642</v>
      </c>
      <c r="AB60" s="113">
        <f ca="1">TblConstr[[#This Row],[Tot Farm]]*farm_food + TblConstr[[#This Row],[Tot Doc]]*dock_food</f>
        <v>3100</v>
      </c>
      <c r="AC60" s="113">
        <f ca="1">TblConstr[[#This Row],[Tot Ly]]*ly_lumber + TblConstr[[#This Row],[Tot Hav]]*fh_lumber</f>
        <v>1000</v>
      </c>
      <c r="AD60" s="113">
        <f ca="1">OFFSET(TblConstr[[#This Row],[Tot Tow]],1,0)*(tower_mana + tech_4_5*TblTech[[#This Row],[4-5]])</f>
        <v>375</v>
      </c>
      <c r="AE60" s="113">
        <f ca="1">OFFSET(TblConstr[[#This Row],[Tot OM]],1,0)*om_ore+IF(race="Dwarf",ROUNDDOWN(TblMili[[#This Row],[Unit 2]]/2,0),)</f>
        <v>1800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0.1</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891.24</v>
      </c>
      <c r="AP60" s="113">
        <f ca="1">(1+race_food_consumption)*TblPop[[#This Row],[Total]]*food_per_person*(1+tech_1_10*TblTech[[#This Row],[1-10]]+tech_7_5*TblTech[[#This Row],[7-5]])</f>
        <v>2344.75</v>
      </c>
      <c r="AQ60" s="113">
        <f ca="1">TblProd[[#This Row],[Lumber]]*lumber_rot * (1 + tech_2_1*TblTech[[#This Row],[2-1]] + tech_2_8*TblTech[[#This Row],[2-8]] + tech_5_2*TblTech[[#This Row],[5-2]])</f>
        <v>228.84</v>
      </c>
      <c r="AR60" s="113">
        <f ca="1">TblProd[[#This Row],[Mana]]*mana_drain * (1 + tech_2_1*TblTech[[#This Row],[2-1]] + tech_2_8*TblTech[[#This Row],[2-8]])</f>
        <v>113.21000000000001</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44407.083333333198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474311</v>
      </c>
      <c r="BJ60" s="113">
        <f ca="1">TblProd[[#This Row],[Food]]</f>
        <v>89124</v>
      </c>
      <c r="BK60" s="113">
        <f ca="1">TblProd[[#This Row],[Lumber]]</f>
        <v>22884</v>
      </c>
      <c r="BL60" s="113">
        <f ca="1">TblProd[[#This Row],[Mana]]</f>
        <v>5660.5</v>
      </c>
      <c r="BM60" s="113">
        <f ca="1">TblProd[[#This Row],[Ore]]</f>
        <v>45600</v>
      </c>
    </row>
    <row r="61" spans="1:65" x14ac:dyDescent="0.2">
      <c r="A61" s="178">
        <v>58</v>
      </c>
      <c r="B61" s="198">
        <f ca="1">TblImps[[#This Row],[Time]]</f>
        <v>44407.124999999862</v>
      </c>
      <c r="C61" s="199"/>
      <c r="D61" s="200"/>
      <c r="E61" s="113">
        <f ca="1">TblConstr[[#This Row],[Land]]</f>
        <v>600</v>
      </c>
      <c r="F61" s="113">
        <f ca="1">TblPop[[#This Row],[Peasants]]</f>
        <v>7979</v>
      </c>
      <c r="G61" s="113">
        <f ca="1">TblMili[[#This Row],[Networth (2)]]</f>
        <v>14520</v>
      </c>
      <c r="H61" s="113">
        <f ca="1">OFFSET(TblProd[[#This Row],[Platinum]],-1,0)+OFFSET(TblProd[[#This Row],[Plat/hr]],-1,0) - TblProd[[#This Row],[Expenses Platinum]] + IF(TblProd[[#This Row],[Plat Bonus]],TblPop[[#This Row],[Peasants]]*4) + SUM(TblConstr[[#This Row],[Dest Hom]:[Dest Doc]])*TblConstr[[#This Row],[CPA Platinum -DB]]*tech_3_3_2*TblTech[[#This Row],[3-3]]</f>
        <v>511317</v>
      </c>
      <c r="I61" s="113">
        <f ca="1">OFFSET(TblProd[[#This Row],[Food]],-1,0)+OFFSET(TblProd[[#This Row],[Food/hr]],-1,0)+ROUNDUP((TblConstr[[#This Row],[Farms]]*80+TblConstr[[#This Row],[Docks]]*35)*(1+OFFSET(TblProd[[#This Row],[Bonus Food/hr]],-1,0)),0)</f>
        <v>89221</v>
      </c>
      <c r="J61" s="113">
        <f ca="1">OFFSET(TblProd[[#This Row],[Lumber]],-1,0)+OFFSET(TblProd[[#This Row],[Lumber/hr]],-1,0) - TblProd[[#This Row],[Expenses Lumber]] + SUM(TblConstr[[#This Row],[Dest Hom]:[Dest Doc]])*TblConstr[[#This Row],[CPA Lumber -DB]]*tech_3_3_2*TblTech[[#This Row],[3-3]]</f>
        <v>23655</v>
      </c>
      <c r="K61" s="113">
        <f ca="1">OFFSET(TblProd[[#This Row],[Mana]],-1,0)+OFFSET(TblProd[[#This Row],[Mana/hr]],-1,0)- TblProd[[#This Row],[Expenses Mana]]</f>
        <v>5922.5</v>
      </c>
      <c r="L61" s="113">
        <f ca="1">OFFSET(TblProd[[#This Row],[Ore]],-1,0)+OFFSET(TblProd[[#This Row],[Ore/hr]],-1,0) -TblProd[[#This Row],[Expenses Ore]]</f>
        <v>47400</v>
      </c>
      <c r="M61" s="113">
        <f ca="1">OFFSET(TblProd[[#This Row],[Gems]],-1,0)+OFFSET(TblProd[[#This Row],[Gems/hr]],-1,0) - TblProd[[#This Row],[Expenses Gems]]</f>
        <v>0</v>
      </c>
      <c r="N61" s="113">
        <f ca="1">OFFSET(TblProd[[#This Row],[Boats]],-1,0)+OFFSET(TblProd[[#This Row],[Boats/hr]],-1,0)</f>
        <v>34</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1500</v>
      </c>
      <c r="Q61" s="113">
        <v>10000</v>
      </c>
      <c r="R61" s="184"/>
      <c r="S61" s="113">
        <f ca="1">ROUNDDOWN(TblProd[[#This Row],[Raw Plat/hr]]*(1+TblProd[[#This Row],[Bonus Plat/hr]]),0)</f>
        <v>36765</v>
      </c>
      <c r="T61" s="113">
        <f ca="1">ROUND(TblProd[[#This Row],[Raw Food/hr]]*(1+TblProd[[#This Row],[Bonus Food/hr]])-TblProd[[#This Row],[Food decay]]-TblProd[[#This Row],[Food eaten]],0)</f>
        <v>96</v>
      </c>
      <c r="U61" s="113">
        <f ca="1">ROUND(TblProd[[#This Row],[Raw Lumber/hr]]*(1+TblProd[[#This Row],[Bonus Lumber/hr]])-TblProd[[#This Row],[Lumber rot]],0)</f>
        <v>763</v>
      </c>
      <c r="V61" s="113">
        <f ca="1">ROUND(TblProd[[#This Row],[Raw Mana/hr]]*(1+TblProd[[#This Row],[Bonus Mana/hr]])-TblProd[[#This Row],[Mana drain]],0)</f>
        <v>257</v>
      </c>
      <c r="W61" s="113">
        <f ca="1">ROUNDDOWN(TblProd[[#This Row],[Raw Ore/hr]]*(1+TblProd[[#This Row],[Bonux Ore/hr]]),0)</f>
        <v>1800</v>
      </c>
      <c r="X61" s="113">
        <f ca="1">ROUNDDOWN(TblProd[[#This Row],[Raw Gems/hr]]*(1+TblProd[[#This Row],[Bonus Gems/hr]]),0)</f>
        <v>0</v>
      </c>
      <c r="Y61" s="201">
        <f ca="1">OFFSET(TblConstr[[#This Row],[Tot Doc]],1,0)*dock_boats_hr * (1 + tech_4_1*TblTech[[#This Row],[4-1]])</f>
        <v>1</v>
      </c>
      <c r="Z61" s="200"/>
      <c r="AA61" s="113">
        <f ca="1">TblPop[[#This Row],[Peasants]]*tax*TblPop[[#This Row],[Employment]] + (Construction!AZ62+Construction!BX62)*(alch_plat+(Magic!AL61&gt;0)*alchemist_flame_bonus)</f>
        <v>33423.300000000003</v>
      </c>
      <c r="AB61" s="113">
        <f ca="1">TblConstr[[#This Row],[Tot Farm]]*farm_food + TblConstr[[#This Row],[Tot Doc]]*dock_food</f>
        <v>3100</v>
      </c>
      <c r="AC61" s="113">
        <f ca="1">TblConstr[[#This Row],[Tot Ly]]*ly_lumber + TblConstr[[#This Row],[Tot Hav]]*fh_lumber</f>
        <v>1000</v>
      </c>
      <c r="AD61" s="113">
        <f ca="1">OFFSET(TblConstr[[#This Row],[Tot Tow]],1,0)*(tower_mana + tech_4_5*TblTech[[#This Row],[4-5]])</f>
        <v>375</v>
      </c>
      <c r="AE61" s="113">
        <f ca="1">OFFSET(TblConstr[[#This Row],[Tot OM]],1,0)*om_ore+IF(race="Dwarf",ROUNDDOWN(TblMili[[#This Row],[Unit 2]]/2,0),)</f>
        <v>1800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0.1</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892.21</v>
      </c>
      <c r="AP61" s="113">
        <f ca="1">(1+race_food_consumption)*TblPop[[#This Row],[Total]]*food_per_person*(1+tech_1_10*TblTech[[#This Row],[1-10]]+tech_7_5*TblTech[[#This Row],[7-5]])</f>
        <v>2344.75</v>
      </c>
      <c r="AQ61" s="113">
        <f ca="1">TblProd[[#This Row],[Lumber]]*lumber_rot * (1 + tech_2_1*TblTech[[#This Row],[2-1]] + tech_2_8*TblTech[[#This Row],[2-8]] + tech_5_2*TblTech[[#This Row],[5-2]])</f>
        <v>236.55</v>
      </c>
      <c r="AR61" s="113">
        <f ca="1">TblProd[[#This Row],[Mana]]*mana_drain * (1 + tech_2_1*TblTech[[#This Row],[2-1]] + tech_2_8*TblTech[[#This Row],[2-8]])</f>
        <v>118.45</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44407.124999999862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511317</v>
      </c>
      <c r="BJ61" s="113">
        <f ca="1">TblProd[[#This Row],[Food]]</f>
        <v>89221</v>
      </c>
      <c r="BK61" s="113">
        <f ca="1">TblProd[[#This Row],[Lumber]]</f>
        <v>23655</v>
      </c>
      <c r="BL61" s="113">
        <f ca="1">TblProd[[#This Row],[Mana]]</f>
        <v>5922.5</v>
      </c>
      <c r="BM61" s="113">
        <f ca="1">TblProd[[#This Row],[Ore]]</f>
        <v>47400</v>
      </c>
    </row>
    <row r="62" spans="1:65" x14ac:dyDescent="0.2">
      <c r="A62" s="178">
        <v>59</v>
      </c>
      <c r="B62" s="198">
        <f ca="1">TblImps[[#This Row],[Time]]</f>
        <v>44407.166666666526</v>
      </c>
      <c r="C62" s="199"/>
      <c r="D62" s="200"/>
      <c r="E62" s="113">
        <f ca="1">TblConstr[[#This Row],[Land]]</f>
        <v>600</v>
      </c>
      <c r="F62" s="113">
        <f ca="1">TblPop[[#This Row],[Peasants]]</f>
        <v>7899</v>
      </c>
      <c r="G62" s="113">
        <f ca="1">TblMili[[#This Row],[Networth (2)]]</f>
        <v>15000</v>
      </c>
      <c r="H62" s="113">
        <f ca="1">OFFSET(TblProd[[#This Row],[Platinum]],-1,0)+OFFSET(TblProd[[#This Row],[Plat/hr]],-1,0) - TblProd[[#This Row],[Expenses Platinum]] + IF(TblProd[[#This Row],[Plat Bonus]],TblPop[[#This Row],[Peasants]]*4) + SUM(TblConstr[[#This Row],[Dest Hom]:[Dest Doc]])*TblConstr[[#This Row],[CPA Platinum -DB]]*tech_3_3_2*TblTech[[#This Row],[3-3]]</f>
        <v>548082</v>
      </c>
      <c r="I62" s="113">
        <f ca="1">OFFSET(TblProd[[#This Row],[Food]],-1,0)+OFFSET(TblProd[[#This Row],[Food/hr]],-1,0)+ROUNDUP((TblConstr[[#This Row],[Farms]]*80+TblConstr[[#This Row],[Docks]]*35)*(1+OFFSET(TblProd[[#This Row],[Bonus Food/hr]],-1,0)),0)</f>
        <v>89317</v>
      </c>
      <c r="J62" s="113">
        <f ca="1">OFFSET(TblProd[[#This Row],[Lumber]],-1,0)+OFFSET(TblProd[[#This Row],[Lumber/hr]],-1,0) - TblProd[[#This Row],[Expenses Lumber]] + SUM(TblConstr[[#This Row],[Dest Hom]:[Dest Doc]])*TblConstr[[#This Row],[CPA Lumber -DB]]*tech_3_3_2*TblTech[[#This Row],[3-3]]</f>
        <v>24418</v>
      </c>
      <c r="K62" s="113">
        <f ca="1">OFFSET(TblProd[[#This Row],[Mana]],-1,0)+OFFSET(TblProd[[#This Row],[Mana/hr]],-1,0)- TblProd[[#This Row],[Expenses Mana]]</f>
        <v>6179.5</v>
      </c>
      <c r="L62" s="113">
        <f ca="1">OFFSET(TblProd[[#This Row],[Ore]],-1,0)+OFFSET(TblProd[[#This Row],[Ore/hr]],-1,0) -TblProd[[#This Row],[Expenses Ore]]</f>
        <v>49200</v>
      </c>
      <c r="M62" s="113">
        <f ca="1">OFFSET(TblProd[[#This Row],[Gems]],-1,0)+OFFSET(TblProd[[#This Row],[Gems/hr]],-1,0) - TblProd[[#This Row],[Expenses Gems]]</f>
        <v>0</v>
      </c>
      <c r="N62" s="113">
        <f ca="1">OFFSET(TblProd[[#This Row],[Boats]],-1,0)+OFFSET(TblProd[[#This Row],[Boats/hr]],-1,0)</f>
        <v>35</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1500</v>
      </c>
      <c r="Q62" s="113">
        <v>10000</v>
      </c>
      <c r="R62" s="184"/>
      <c r="S62" s="113">
        <f ca="1">ROUNDDOWN(TblProd[[#This Row],[Raw Plat/hr]]*(1+TblProd[[#This Row],[Bonus Plat/hr]]),0)</f>
        <v>36528</v>
      </c>
      <c r="T62" s="113">
        <f ca="1">ROUND(TblProd[[#This Row],[Raw Food/hr]]*(1+TblProd[[#This Row],[Bonus Food/hr]])-TblProd[[#This Row],[Food decay]]-TblProd[[#This Row],[Food eaten]],0)</f>
        <v>95</v>
      </c>
      <c r="U62" s="113">
        <f ca="1">ROUND(TblProd[[#This Row],[Raw Lumber/hr]]*(1+TblProd[[#This Row],[Bonus Lumber/hr]])-TblProd[[#This Row],[Lumber rot]],0)</f>
        <v>756</v>
      </c>
      <c r="V62" s="113">
        <f ca="1">ROUND(TblProd[[#This Row],[Raw Mana/hr]]*(1+TblProd[[#This Row],[Bonus Mana/hr]])-TblProd[[#This Row],[Mana drain]],0)</f>
        <v>251</v>
      </c>
      <c r="W62" s="113">
        <f ca="1">ROUNDDOWN(TblProd[[#This Row],[Raw Ore/hr]]*(1+TblProd[[#This Row],[Bonux Ore/hr]]),0)</f>
        <v>1800</v>
      </c>
      <c r="X62" s="113">
        <f ca="1">ROUNDDOWN(TblProd[[#This Row],[Raw Gems/hr]]*(1+TblProd[[#This Row],[Bonus Gems/hr]]),0)</f>
        <v>0</v>
      </c>
      <c r="Y62" s="201">
        <f ca="1">OFFSET(TblConstr[[#This Row],[Tot Doc]],1,0)*dock_boats_hr * (1 + tech_4_1*TblTech[[#This Row],[4-1]])</f>
        <v>1</v>
      </c>
      <c r="Z62" s="200"/>
      <c r="AA62" s="113">
        <f ca="1">TblPop[[#This Row],[Peasants]]*tax*TblPop[[#This Row],[Employment]] + (Construction!AZ63+Construction!BX63)*(alch_plat+(Magic!AL62&gt;0)*alchemist_flame_bonus)</f>
        <v>33207.300000000003</v>
      </c>
      <c r="AB62" s="113">
        <f ca="1">TblConstr[[#This Row],[Tot Farm]]*farm_food + TblConstr[[#This Row],[Tot Doc]]*dock_food</f>
        <v>3100</v>
      </c>
      <c r="AC62" s="113">
        <f ca="1">TblConstr[[#This Row],[Tot Ly]]*ly_lumber + TblConstr[[#This Row],[Tot Hav]]*fh_lumber</f>
        <v>1000</v>
      </c>
      <c r="AD62" s="113">
        <f ca="1">OFFSET(TblConstr[[#This Row],[Tot Tow]],1,0)*(tower_mana + tech_4_5*TblTech[[#This Row],[4-5]])</f>
        <v>375</v>
      </c>
      <c r="AE62" s="113">
        <f ca="1">OFFSET(TblConstr[[#This Row],[Tot OM]],1,0)*om_ore+IF(race="Dwarf",ROUNDDOWN(TblMili[[#This Row],[Unit 2]]/2,0),)</f>
        <v>1800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0.1</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893.17000000000007</v>
      </c>
      <c r="AP62" s="113">
        <f ca="1">(1+race_food_consumption)*TblPop[[#This Row],[Total]]*food_per_person*(1+tech_1_10*TblTech[[#This Row],[1-10]]+tech_7_5*TblTech[[#This Row],[7-5]])</f>
        <v>2344.75</v>
      </c>
      <c r="AQ62" s="113">
        <f ca="1">TblProd[[#This Row],[Lumber]]*lumber_rot * (1 + tech_2_1*TblTech[[#This Row],[2-1]] + tech_2_8*TblTech[[#This Row],[2-8]] + tech_5_2*TblTech[[#This Row],[5-2]])</f>
        <v>244.18</v>
      </c>
      <c r="AR62" s="113">
        <f ca="1">TblProd[[#This Row],[Mana]]*mana_drain * (1 + tech_2_1*TblTech[[#This Row],[2-1]] + tech_2_8*TblTech[[#This Row],[2-8]])</f>
        <v>123.59</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44407.166666666526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548082</v>
      </c>
      <c r="BJ62" s="113">
        <f ca="1">TblProd[[#This Row],[Food]]</f>
        <v>89317</v>
      </c>
      <c r="BK62" s="113">
        <f ca="1">TblProd[[#This Row],[Lumber]]</f>
        <v>24418</v>
      </c>
      <c r="BL62" s="113">
        <f ca="1">TblProd[[#This Row],[Mana]]</f>
        <v>6179.5</v>
      </c>
      <c r="BM62" s="113">
        <f ca="1">TblProd[[#This Row],[Ore]]</f>
        <v>49200</v>
      </c>
    </row>
    <row r="63" spans="1:65" x14ac:dyDescent="0.2">
      <c r="A63" s="178">
        <v>60</v>
      </c>
      <c r="B63" s="198">
        <f ca="1">TblImps[[#This Row],[Time]]</f>
        <v>44407.20833333319</v>
      </c>
      <c r="C63" s="199"/>
      <c r="D63" s="200"/>
      <c r="E63" s="113">
        <f ca="1">TblConstr[[#This Row],[Land]]</f>
        <v>600</v>
      </c>
      <c r="F63" s="113">
        <f ca="1">TblPop[[#This Row],[Peasants]]</f>
        <v>7820</v>
      </c>
      <c r="G63" s="113">
        <f ca="1">TblMili[[#This Row],[Networth (2)]]</f>
        <v>15035</v>
      </c>
      <c r="H63" s="113">
        <f ca="1">OFFSET(TblProd[[#This Row],[Platinum]],-1,0)+OFFSET(TblProd[[#This Row],[Plat/hr]],-1,0) - TblProd[[#This Row],[Expenses Platinum]] + IF(TblProd[[#This Row],[Plat Bonus]],TblPop[[#This Row],[Peasants]]*4) + SUM(TblConstr[[#This Row],[Dest Hom]:[Dest Doc]])*TblConstr[[#This Row],[CPA Platinum -DB]]*tech_3_3_2*TblTech[[#This Row],[3-3]]</f>
        <v>584610</v>
      </c>
      <c r="I63" s="113">
        <f ca="1">OFFSET(TblProd[[#This Row],[Food]],-1,0)+OFFSET(TblProd[[#This Row],[Food/hr]],-1,0)+ROUNDUP((TblConstr[[#This Row],[Farms]]*80+TblConstr[[#This Row],[Docks]]*35)*(1+OFFSET(TblProd[[#This Row],[Bonus Food/hr]],-1,0)),0)</f>
        <v>89412</v>
      </c>
      <c r="J63" s="113">
        <f ca="1">OFFSET(TblProd[[#This Row],[Lumber]],-1,0)+OFFSET(TblProd[[#This Row],[Lumber/hr]],-1,0) - TblProd[[#This Row],[Expenses Lumber]] + SUM(TblConstr[[#This Row],[Dest Hom]:[Dest Doc]])*TblConstr[[#This Row],[CPA Lumber -DB]]*tech_3_3_2*TblTech[[#This Row],[3-3]]</f>
        <v>25174</v>
      </c>
      <c r="K63" s="113">
        <f ca="1">OFFSET(TblProd[[#This Row],[Mana]],-1,0)+OFFSET(TblProd[[#This Row],[Mana/hr]],-1,0)- TblProd[[#This Row],[Expenses Mana]]</f>
        <v>6430.5</v>
      </c>
      <c r="L63" s="113">
        <f ca="1">OFFSET(TblProd[[#This Row],[Ore]],-1,0)+OFFSET(TblProd[[#This Row],[Ore/hr]],-1,0) -TblProd[[#This Row],[Expenses Ore]]</f>
        <v>51000</v>
      </c>
      <c r="M63" s="113">
        <f ca="1">OFFSET(TblProd[[#This Row],[Gems]],-1,0)+OFFSET(TblProd[[#This Row],[Gems/hr]],-1,0) - TblProd[[#This Row],[Expenses Gems]]</f>
        <v>0</v>
      </c>
      <c r="N63" s="113">
        <f ca="1">OFFSET(TblProd[[#This Row],[Boats]],-1,0)+OFFSET(TblProd[[#This Row],[Boats/hr]],-1,0)</f>
        <v>36</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1500</v>
      </c>
      <c r="Q63" s="113">
        <v>10000</v>
      </c>
      <c r="R63" s="184"/>
      <c r="S63" s="113">
        <f ca="1">ROUNDDOWN(TblProd[[#This Row],[Raw Plat/hr]]*(1+TblProd[[#This Row],[Bonus Plat/hr]]),0)</f>
        <v>36293</v>
      </c>
      <c r="T63" s="113">
        <f ca="1">ROUND(TblProd[[#This Row],[Raw Food/hr]]*(1+TblProd[[#This Row],[Bonus Food/hr]])-TblProd[[#This Row],[Food decay]]-TblProd[[#This Row],[Food eaten]],0)</f>
        <v>94</v>
      </c>
      <c r="U63" s="113">
        <f ca="1">ROUND(TblProd[[#This Row],[Raw Lumber/hr]]*(1+TblProd[[#This Row],[Bonus Lumber/hr]])-TblProd[[#This Row],[Lumber rot]],0)</f>
        <v>748</v>
      </c>
      <c r="V63" s="113">
        <f ca="1">ROUND(TblProd[[#This Row],[Raw Mana/hr]]*(1+TblProd[[#This Row],[Bonus Mana/hr]])-TblProd[[#This Row],[Mana drain]],0)</f>
        <v>246</v>
      </c>
      <c r="W63" s="113">
        <f ca="1">ROUNDDOWN(TblProd[[#This Row],[Raw Ore/hr]]*(1+TblProd[[#This Row],[Bonux Ore/hr]]),0)</f>
        <v>1800</v>
      </c>
      <c r="X63" s="113">
        <f ca="1">ROUNDDOWN(TblProd[[#This Row],[Raw Gems/hr]]*(1+TblProd[[#This Row],[Bonus Gems/hr]]),0)</f>
        <v>0</v>
      </c>
      <c r="Y63" s="201">
        <f ca="1">OFFSET(TblConstr[[#This Row],[Tot Doc]],1,0)*dock_boats_hr * (1 + tech_4_1*TblTech[[#This Row],[4-1]])</f>
        <v>1</v>
      </c>
      <c r="Z63" s="200"/>
      <c r="AA63" s="113">
        <f ca="1">TblPop[[#This Row],[Peasants]]*tax*TblPop[[#This Row],[Employment]] + (Construction!AZ64+Construction!BX64)*(alch_plat+(Magic!AL63&gt;0)*alchemist_flame_bonus)</f>
        <v>32994</v>
      </c>
      <c r="AB63" s="113">
        <f ca="1">TblConstr[[#This Row],[Tot Farm]]*farm_food + TblConstr[[#This Row],[Tot Doc]]*dock_food</f>
        <v>3100</v>
      </c>
      <c r="AC63" s="113">
        <f ca="1">TblConstr[[#This Row],[Tot Ly]]*ly_lumber + TblConstr[[#This Row],[Tot Hav]]*fh_lumber</f>
        <v>1000</v>
      </c>
      <c r="AD63" s="113">
        <f ca="1">OFFSET(TblConstr[[#This Row],[Tot Tow]],1,0)*(tower_mana + tech_4_5*TblTech[[#This Row],[4-5]])</f>
        <v>375</v>
      </c>
      <c r="AE63" s="113">
        <f ca="1">OFFSET(TblConstr[[#This Row],[Tot OM]],1,0)*om_ore+IF(race="Dwarf",ROUNDDOWN(TblMili[[#This Row],[Unit 2]]/2,0),)</f>
        <v>1800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0.1</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894.12</v>
      </c>
      <c r="AP63" s="113">
        <f ca="1">(1+race_food_consumption)*TblPop[[#This Row],[Total]]*food_per_person*(1+tech_1_10*TblTech[[#This Row],[1-10]]+tech_7_5*TblTech[[#This Row],[7-5]])</f>
        <v>2344.75</v>
      </c>
      <c r="AQ63" s="113">
        <f ca="1">TblProd[[#This Row],[Lumber]]*lumber_rot * (1 + tech_2_1*TblTech[[#This Row],[2-1]] + tech_2_8*TblTech[[#This Row],[2-8]] + tech_5_2*TblTech[[#This Row],[5-2]])</f>
        <v>251.74</v>
      </c>
      <c r="AR63" s="113">
        <f ca="1">TblProd[[#This Row],[Mana]]*mana_drain * (1 + tech_2_1*TblTech[[#This Row],[2-1]] + tech_2_8*TblTech[[#This Row],[2-8]])</f>
        <v>128.61000000000001</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44407.20833333319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584610</v>
      </c>
      <c r="BJ63" s="113">
        <f ca="1">TblProd[[#This Row],[Food]]</f>
        <v>89412</v>
      </c>
      <c r="BK63" s="113">
        <f ca="1">TblProd[[#This Row],[Lumber]]</f>
        <v>25174</v>
      </c>
      <c r="BL63" s="113">
        <f ca="1">TblProd[[#This Row],[Mana]]</f>
        <v>6430.5</v>
      </c>
      <c r="BM63" s="113">
        <f ca="1">TblProd[[#This Row],[Ore]]</f>
        <v>51000</v>
      </c>
    </row>
    <row r="64" spans="1:65" x14ac:dyDescent="0.2">
      <c r="A64" s="178">
        <v>61</v>
      </c>
      <c r="B64" s="198">
        <f ca="1">TblImps[[#This Row],[Time]]</f>
        <v>44407.249999999854</v>
      </c>
      <c r="C64" s="199">
        <v>1</v>
      </c>
      <c r="D64" s="200"/>
      <c r="E64" s="113">
        <f ca="1">TblConstr[[#This Row],[Land]]</f>
        <v>600</v>
      </c>
      <c r="F64" s="113">
        <f ca="1">TblPop[[#This Row],[Peasants]]</f>
        <v>8095</v>
      </c>
      <c r="G64" s="113">
        <f ca="1">TblMili[[#This Row],[Networth (2)]]</f>
        <v>15175</v>
      </c>
      <c r="H64" s="113">
        <f ca="1">OFFSET(TblProd[[#This Row],[Platinum]],-1,0)+OFFSET(TblProd[[#This Row],[Plat/hr]],-1,0) - TblProd[[#This Row],[Expenses Platinum]] + IF(TblProd[[#This Row],[Plat Bonus]],TblPop[[#This Row],[Peasants]]*4) + SUM(TblConstr[[#This Row],[Dest Hom]:[Dest Doc]])*TblConstr[[#This Row],[CPA Platinum -DB]]*tech_3_3_2*TblTech[[#This Row],[3-3]]</f>
        <v>81283</v>
      </c>
      <c r="I64" s="113">
        <f ca="1">OFFSET(TblProd[[#This Row],[Food]],-1,0)+OFFSET(TblProd[[#This Row],[Food/hr]],-1,0)+ROUNDUP((TblConstr[[#This Row],[Farms]]*80+TblConstr[[#This Row],[Docks]]*35)*(1+OFFSET(TblProd[[#This Row],[Bonus Food/hr]],-1,0)),0)</f>
        <v>89506</v>
      </c>
      <c r="J64" s="113">
        <f ca="1">OFFSET(TblProd[[#This Row],[Lumber]],-1,0)+OFFSET(TblProd[[#This Row],[Lumber/hr]],-1,0) - TblProd[[#This Row],[Expenses Lumber]] + SUM(TblConstr[[#This Row],[Dest Hom]:[Dest Doc]])*TblConstr[[#This Row],[CPA Lumber -DB]]*tech_3_3_2*TblTech[[#This Row],[3-3]]</f>
        <v>25922</v>
      </c>
      <c r="K64" s="113">
        <f ca="1">OFFSET(TblProd[[#This Row],[Mana]],-1,0)+OFFSET(TblProd[[#This Row],[Mana/hr]],-1,0)- TblProd[[#This Row],[Expenses Mana]]</f>
        <v>6676.5</v>
      </c>
      <c r="L64" s="113">
        <f ca="1">OFFSET(TblProd[[#This Row],[Ore]],-1,0)+OFFSET(TblProd[[#This Row],[Ore/hr]],-1,0) -TblProd[[#This Row],[Expenses Ore]]</f>
        <v>8400</v>
      </c>
      <c r="M64" s="113">
        <f ca="1">OFFSET(TblProd[[#This Row],[Gems]],-1,0)+OFFSET(TblProd[[#This Row],[Gems/hr]],-1,0) - TblProd[[#This Row],[Expenses Gems]]</f>
        <v>0</v>
      </c>
      <c r="N64" s="113">
        <f ca="1">OFFSET(TblProd[[#This Row],[Boats]],-1,0)+OFFSET(TblProd[[#This Row],[Boats/hr]],-1,0)</f>
        <v>37</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2250</v>
      </c>
      <c r="Q64" s="113">
        <v>10000</v>
      </c>
      <c r="R64" s="184"/>
      <c r="S64" s="113">
        <f ca="1">ROUNDDOWN(TblProd[[#This Row],[Raw Plat/hr]]*(1+TblProd[[#This Row],[Bonus Plat/hr]]),0)</f>
        <v>37110</v>
      </c>
      <c r="T64" s="113">
        <f ca="1">ROUND(TblProd[[#This Row],[Raw Food/hr]]*(1+TblProd[[#This Row],[Bonus Food/hr]])-TblProd[[#This Row],[Food decay]]-TblProd[[#This Row],[Food eaten]],0)</f>
        <v>4</v>
      </c>
      <c r="U64" s="113">
        <f ca="1">ROUND(TblProd[[#This Row],[Raw Lumber/hr]]*(1+TblProd[[#This Row],[Bonus Lumber/hr]])-TblProd[[#This Row],[Lumber rot]],0)</f>
        <v>741</v>
      </c>
      <c r="V64" s="113">
        <f ca="1">ROUND(TblProd[[#This Row],[Raw Mana/hr]]*(1+TblProd[[#This Row],[Bonus Mana/hr]])-TblProd[[#This Row],[Mana drain]],0)</f>
        <v>241</v>
      </c>
      <c r="W64" s="113">
        <f ca="1">ROUNDDOWN(TblProd[[#This Row],[Raw Ore/hr]]*(1+TblProd[[#This Row],[Bonux Ore/hr]]),0)</f>
        <v>1800</v>
      </c>
      <c r="X64" s="113">
        <f ca="1">ROUNDDOWN(TblProd[[#This Row],[Raw Gems/hr]]*(1+TblProd[[#This Row],[Bonus Gems/hr]]),0)</f>
        <v>0</v>
      </c>
      <c r="Y64" s="201">
        <f ca="1">OFFSET(TblConstr[[#This Row],[Tot Doc]],1,0)*dock_boats_hr * (1 + tech_4_1*TblTech[[#This Row],[4-1]])</f>
        <v>1</v>
      </c>
      <c r="Z64" s="200"/>
      <c r="AA64" s="113">
        <f ca="1">TblPop[[#This Row],[Peasants]]*tax*TblPop[[#This Row],[Employment]] + (Construction!AZ65+Construction!BX65)*(alch_plat+(Magic!AL64&gt;0)*alchemist_flame_bonus)</f>
        <v>33736.5</v>
      </c>
      <c r="AB64" s="113">
        <f ca="1">TblConstr[[#This Row],[Tot Farm]]*farm_food + TblConstr[[#This Row],[Tot Doc]]*dock_food</f>
        <v>3100</v>
      </c>
      <c r="AC64" s="113">
        <f ca="1">TblConstr[[#This Row],[Tot Ly]]*ly_lumber + TblConstr[[#This Row],[Tot Hav]]*fh_lumber</f>
        <v>1000</v>
      </c>
      <c r="AD64" s="113">
        <f ca="1">OFFSET(TblConstr[[#This Row],[Tot Tow]],1,0)*(tower_mana + tech_4_5*TblTech[[#This Row],[4-5]])</f>
        <v>375</v>
      </c>
      <c r="AE64" s="113">
        <f ca="1">OFFSET(TblConstr[[#This Row],[Tot OM]],1,0)*om_ore+IF(race="Dwarf",ROUNDDOWN(TblMili[[#This Row],[Unit 2]]/2,0),)</f>
        <v>1800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0.1</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895.06000000000006</v>
      </c>
      <c r="AP64" s="113">
        <f ca="1">(1+race_food_consumption)*TblPop[[#This Row],[Total]]*food_per_person*(1+tech_1_10*TblTech[[#This Row],[1-10]]+tech_7_5*TblTech[[#This Row],[7-5]])</f>
        <v>2433</v>
      </c>
      <c r="AQ64" s="113">
        <f ca="1">TblProd[[#This Row],[Lumber]]*lumber_rot * (1 + tech_2_1*TblTech[[#This Row],[2-1]] + tech_2_8*TblTech[[#This Row],[2-8]] + tech_5_2*TblTech[[#This Row],[5-2]])</f>
        <v>259.22000000000003</v>
      </c>
      <c r="AR64" s="113">
        <f ca="1">TblProd[[#This Row],[Mana]]*mana_drain * (1 + tech_2_1*TblTech[[#This Row],[2-1]] + tech_2_8*TblTech[[#This Row],[2-8]])</f>
        <v>133.53</v>
      </c>
      <c r="AS64" s="200"/>
      <c r="AT64" s="113">
        <f ca="1">TblExplore[[#This Row],[Platinum (2)]]+TblConstr[[#This Row],[Total Plat Cost]]+TblMili[[#This Row],[Plat Cost]]+TblRezone[[#This Row],[Platinum cost]]+TblImps[[#This Row],[P1]]-TblProd[[#This Row],[Bank Plat]]</f>
        <v>572000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44400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44407.249999999854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81283</v>
      </c>
      <c r="BJ64" s="113">
        <f ca="1">TblProd[[#This Row],[Food]]</f>
        <v>89506</v>
      </c>
      <c r="BK64" s="113">
        <f ca="1">TblProd[[#This Row],[Lumber]]</f>
        <v>25922</v>
      </c>
      <c r="BL64" s="113">
        <f ca="1">TblProd[[#This Row],[Mana]]</f>
        <v>6676.5</v>
      </c>
      <c r="BM64" s="113">
        <f ca="1">TblProd[[#This Row],[Ore]]</f>
        <v>8400</v>
      </c>
    </row>
    <row r="65" spans="1:65" x14ac:dyDescent="0.2">
      <c r="A65" s="178">
        <v>62</v>
      </c>
      <c r="B65" s="198">
        <f ca="1">TblImps[[#This Row],[Time]]</f>
        <v>44407.291666666519</v>
      </c>
      <c r="C65" s="199"/>
      <c r="D65" s="200"/>
      <c r="E65" s="113">
        <f ca="1">TblConstr[[#This Row],[Land]]</f>
        <v>600</v>
      </c>
      <c r="F65" s="113">
        <f ca="1">TblPop[[#This Row],[Peasants]]</f>
        <v>8137</v>
      </c>
      <c r="G65" s="113">
        <f ca="1">TblMili[[#This Row],[Networth (2)]]</f>
        <v>15215</v>
      </c>
      <c r="H65" s="113">
        <f ca="1">OFFSET(TblProd[[#This Row],[Platinum]],-1,0)+OFFSET(TblProd[[#This Row],[Plat/hr]],-1,0) - TblProd[[#This Row],[Expenses Platinum]] + IF(TblProd[[#This Row],[Plat Bonus]],TblPop[[#This Row],[Peasants]]*4) + SUM(TblConstr[[#This Row],[Dest Hom]:[Dest Doc]])*TblConstr[[#This Row],[CPA Platinum -DB]]*tech_3_3_2*TblTech[[#This Row],[3-3]]</f>
        <v>118393</v>
      </c>
      <c r="I65" s="113">
        <f ca="1">OFFSET(TblProd[[#This Row],[Food]],-1,0)+OFFSET(TblProd[[#This Row],[Food/hr]],-1,0)+ROUNDUP((TblConstr[[#This Row],[Farms]]*80+TblConstr[[#This Row],[Docks]]*35)*(1+OFFSET(TblProd[[#This Row],[Bonus Food/hr]],-1,0)),0)</f>
        <v>89510</v>
      </c>
      <c r="J65" s="113">
        <f ca="1">OFFSET(TblProd[[#This Row],[Lumber]],-1,0)+OFFSET(TblProd[[#This Row],[Lumber/hr]],-1,0) - TblProd[[#This Row],[Expenses Lumber]] + SUM(TblConstr[[#This Row],[Dest Hom]:[Dest Doc]])*TblConstr[[#This Row],[CPA Lumber -DB]]*tech_3_3_2*TblTech[[#This Row],[3-3]]</f>
        <v>26663</v>
      </c>
      <c r="K65" s="113">
        <f ca="1">OFFSET(TblProd[[#This Row],[Mana]],-1,0)+OFFSET(TblProd[[#This Row],[Mana/hr]],-1,0)- TblProd[[#This Row],[Expenses Mana]]</f>
        <v>6917.5</v>
      </c>
      <c r="L65" s="113">
        <f ca="1">OFFSET(TblProd[[#This Row],[Ore]],-1,0)+OFFSET(TblProd[[#This Row],[Ore/hr]],-1,0) -TblProd[[#This Row],[Expenses Ore]]</f>
        <v>10200</v>
      </c>
      <c r="M65" s="113">
        <f ca="1">OFFSET(TblProd[[#This Row],[Gems]],-1,0)+OFFSET(TblProd[[#This Row],[Gems/hr]],-1,0) - TblProd[[#This Row],[Expenses Gems]]</f>
        <v>0</v>
      </c>
      <c r="N65" s="113">
        <f ca="1">OFFSET(TblProd[[#This Row],[Boats]],-1,0)+OFFSET(TblProd[[#This Row],[Boats/hr]],-1,0)</f>
        <v>38</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2250</v>
      </c>
      <c r="Q65" s="113">
        <v>10000</v>
      </c>
      <c r="R65" s="184"/>
      <c r="S65" s="113">
        <f ca="1">ROUNDDOWN(TblProd[[#This Row],[Raw Plat/hr]]*(1+TblProd[[#This Row],[Bonus Plat/hr]]),0)</f>
        <v>37234</v>
      </c>
      <c r="T65" s="113">
        <f ca="1">ROUND(TblProd[[#This Row],[Raw Food/hr]]*(1+TblProd[[#This Row],[Bonus Food/hr]])-TblProd[[#This Row],[Food decay]]-TblProd[[#This Row],[Food eaten]],0)</f>
        <v>-26</v>
      </c>
      <c r="U65" s="113">
        <f ca="1">ROUND(TblProd[[#This Row],[Raw Lumber/hr]]*(1+TblProd[[#This Row],[Bonus Lumber/hr]])-TblProd[[#This Row],[Lumber rot]],0)</f>
        <v>733</v>
      </c>
      <c r="V65" s="113">
        <f ca="1">ROUND(TblProd[[#This Row],[Raw Mana/hr]]*(1+TblProd[[#This Row],[Bonus Mana/hr]])-TblProd[[#This Row],[Mana drain]],0)</f>
        <v>237</v>
      </c>
      <c r="W65" s="113">
        <f ca="1">ROUNDDOWN(TblProd[[#This Row],[Raw Ore/hr]]*(1+TblProd[[#This Row],[Bonux Ore/hr]]),0)</f>
        <v>1800</v>
      </c>
      <c r="X65" s="113">
        <f ca="1">ROUNDDOWN(TblProd[[#This Row],[Raw Gems/hr]]*(1+TblProd[[#This Row],[Bonus Gems/hr]]),0)</f>
        <v>0</v>
      </c>
      <c r="Y65" s="201">
        <f ca="1">OFFSET(TblConstr[[#This Row],[Tot Doc]],1,0)*dock_boats_hr * (1 + tech_4_1*TblTech[[#This Row],[4-1]])</f>
        <v>1</v>
      </c>
      <c r="Z65" s="200"/>
      <c r="AA65" s="113">
        <f ca="1">TblPop[[#This Row],[Peasants]]*tax*TblPop[[#This Row],[Employment]] + (Construction!AZ66+Construction!BX66)*(alch_plat+(Magic!AL65&gt;0)*alchemist_flame_bonus)</f>
        <v>33849.9</v>
      </c>
      <c r="AB65" s="113">
        <f ca="1">TblConstr[[#This Row],[Tot Farm]]*farm_food + TblConstr[[#This Row],[Tot Doc]]*dock_food</f>
        <v>3100</v>
      </c>
      <c r="AC65" s="113">
        <f ca="1">TblConstr[[#This Row],[Tot Ly]]*ly_lumber + TblConstr[[#This Row],[Tot Hav]]*fh_lumber</f>
        <v>1000</v>
      </c>
      <c r="AD65" s="113">
        <f ca="1">OFFSET(TblConstr[[#This Row],[Tot Tow]],1,0)*(tower_mana + tech_4_5*TblTech[[#This Row],[4-5]])</f>
        <v>375</v>
      </c>
      <c r="AE65" s="113">
        <f ca="1">OFFSET(TblConstr[[#This Row],[Tot OM]],1,0)*om_ore+IF(race="Dwarf",ROUNDDOWN(TblMili[[#This Row],[Unit 2]]/2,0),)</f>
        <v>1800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0.1</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895.1</v>
      </c>
      <c r="AP65" s="113">
        <f ca="1">(1+race_food_consumption)*TblPop[[#This Row],[Total]]*food_per_person*(1+tech_1_10*TblTech[[#This Row],[1-10]]+tech_7_5*TblTech[[#This Row],[7-5]])</f>
        <v>2463.75</v>
      </c>
      <c r="AQ65" s="113">
        <f ca="1">TblProd[[#This Row],[Lumber]]*lumber_rot * (1 + tech_2_1*TblTech[[#This Row],[2-1]] + tech_2_8*TblTech[[#This Row],[2-8]] + tech_5_2*TblTech[[#This Row],[5-2]])</f>
        <v>266.63</v>
      </c>
      <c r="AR65" s="113">
        <f ca="1">TblProd[[#This Row],[Mana]]*mana_drain * (1 + tech_2_1*TblTech[[#This Row],[2-1]] + tech_2_8*TblTech[[#This Row],[2-8]])</f>
        <v>138.35</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44407.291666666519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118393</v>
      </c>
      <c r="BJ65" s="113">
        <f ca="1">TblProd[[#This Row],[Food]]</f>
        <v>89510</v>
      </c>
      <c r="BK65" s="113">
        <f ca="1">TblProd[[#This Row],[Lumber]]</f>
        <v>26663</v>
      </c>
      <c r="BL65" s="113">
        <f ca="1">TblProd[[#This Row],[Mana]]</f>
        <v>6917.5</v>
      </c>
      <c r="BM65" s="113">
        <f ca="1">TblProd[[#This Row],[Ore]]</f>
        <v>10200</v>
      </c>
    </row>
    <row r="66" spans="1:65" x14ac:dyDescent="0.2">
      <c r="A66" s="178">
        <v>63</v>
      </c>
      <c r="B66" s="198">
        <f ca="1">TblImps[[#This Row],[Time]]</f>
        <v>44407.333333333183</v>
      </c>
      <c r="C66" s="199"/>
      <c r="D66" s="200"/>
      <c r="E66" s="113">
        <f ca="1">TblConstr[[#This Row],[Land]]</f>
        <v>600</v>
      </c>
      <c r="F66" s="113">
        <f ca="1">TblPop[[#This Row],[Peasants]]</f>
        <v>8164</v>
      </c>
      <c r="G66" s="113">
        <f ca="1">TblMili[[#This Row],[Networth (2)]]</f>
        <v>15250</v>
      </c>
      <c r="H66" s="113">
        <f ca="1">OFFSET(TblProd[[#This Row],[Platinum]],-1,0)+OFFSET(TblProd[[#This Row],[Plat/hr]],-1,0) - TblProd[[#This Row],[Expenses Platinum]] + IF(TblProd[[#This Row],[Plat Bonus]],TblPop[[#This Row],[Peasants]]*4) + SUM(TblConstr[[#This Row],[Dest Hom]:[Dest Doc]])*TblConstr[[#This Row],[CPA Platinum -DB]]*tech_3_3_2*TblTech[[#This Row],[3-3]]</f>
        <v>155627</v>
      </c>
      <c r="I66" s="113">
        <f ca="1">OFFSET(TblProd[[#This Row],[Food]],-1,0)+OFFSET(TblProd[[#This Row],[Food/hr]],-1,0)+ROUNDUP((TblConstr[[#This Row],[Farms]]*80+TblConstr[[#This Row],[Docks]]*35)*(1+OFFSET(TblProd[[#This Row],[Bonus Food/hr]],-1,0)),0)</f>
        <v>89484</v>
      </c>
      <c r="J66" s="113">
        <f ca="1">OFFSET(TblProd[[#This Row],[Lumber]],-1,0)+OFFSET(TblProd[[#This Row],[Lumber/hr]],-1,0) - TblProd[[#This Row],[Expenses Lumber]] + SUM(TblConstr[[#This Row],[Dest Hom]:[Dest Doc]])*TblConstr[[#This Row],[CPA Lumber -DB]]*tech_3_3_2*TblTech[[#This Row],[3-3]]</f>
        <v>27396</v>
      </c>
      <c r="K66" s="113">
        <f ca="1">OFFSET(TblProd[[#This Row],[Mana]],-1,0)+OFFSET(TblProd[[#This Row],[Mana/hr]],-1,0)- TblProd[[#This Row],[Expenses Mana]]</f>
        <v>7154.5</v>
      </c>
      <c r="L66" s="113">
        <f ca="1">OFFSET(TblProd[[#This Row],[Ore]],-1,0)+OFFSET(TblProd[[#This Row],[Ore/hr]],-1,0) -TblProd[[#This Row],[Expenses Ore]]</f>
        <v>12000</v>
      </c>
      <c r="M66" s="113">
        <f ca="1">OFFSET(TblProd[[#This Row],[Gems]],-1,0)+OFFSET(TblProd[[#This Row],[Gems/hr]],-1,0) - TblProd[[#This Row],[Expenses Gems]]</f>
        <v>0</v>
      </c>
      <c r="N66" s="113">
        <f ca="1">OFFSET(TblProd[[#This Row],[Boats]],-1,0)+OFFSET(TblProd[[#This Row],[Boats/hr]],-1,0)</f>
        <v>39</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2250</v>
      </c>
      <c r="Q66" s="113">
        <v>10000</v>
      </c>
      <c r="R66" s="184"/>
      <c r="S66" s="113">
        <f ca="1">ROUNDDOWN(TblProd[[#This Row],[Raw Plat/hr]]*(1+TblProd[[#This Row],[Bonus Plat/hr]]),0)</f>
        <v>37315</v>
      </c>
      <c r="T66" s="113">
        <f ca="1">ROUND(TblProd[[#This Row],[Raw Food/hr]]*(1+TblProd[[#This Row],[Bonus Food/hr]])-TblProd[[#This Row],[Food decay]]-TblProd[[#This Row],[Food eaten]],0)</f>
        <v>-53</v>
      </c>
      <c r="U66" s="113">
        <f ca="1">ROUND(TblProd[[#This Row],[Raw Lumber/hr]]*(1+TblProd[[#This Row],[Bonus Lumber/hr]])-TblProd[[#This Row],[Lumber rot]],0)</f>
        <v>726</v>
      </c>
      <c r="V66" s="113">
        <f ca="1">ROUND(TblProd[[#This Row],[Raw Mana/hr]]*(1+TblProd[[#This Row],[Bonus Mana/hr]])-TblProd[[#This Row],[Mana drain]],0)</f>
        <v>232</v>
      </c>
      <c r="W66" s="113">
        <f ca="1">ROUNDDOWN(TblProd[[#This Row],[Raw Ore/hr]]*(1+TblProd[[#This Row],[Bonux Ore/hr]]),0)</f>
        <v>1800</v>
      </c>
      <c r="X66" s="113">
        <f ca="1">ROUNDDOWN(TblProd[[#This Row],[Raw Gems/hr]]*(1+TblProd[[#This Row],[Bonus Gems/hr]]),0)</f>
        <v>0</v>
      </c>
      <c r="Y66" s="201">
        <f ca="1">OFFSET(TblConstr[[#This Row],[Tot Doc]],1,0)*dock_boats_hr * (1 + tech_4_1*TblTech[[#This Row],[4-1]])</f>
        <v>1</v>
      </c>
      <c r="Z66" s="200"/>
      <c r="AA66" s="113">
        <f ca="1">TblPop[[#This Row],[Peasants]]*tax*TblPop[[#This Row],[Employment]] + (Construction!AZ67+Construction!BX67)*(alch_plat+(Magic!AL66&gt;0)*alchemist_flame_bonus)</f>
        <v>33922.800000000003</v>
      </c>
      <c r="AB66" s="113">
        <f ca="1">TblConstr[[#This Row],[Tot Farm]]*farm_food + TblConstr[[#This Row],[Tot Doc]]*dock_food</f>
        <v>3100</v>
      </c>
      <c r="AC66" s="113">
        <f ca="1">TblConstr[[#This Row],[Tot Ly]]*ly_lumber + TblConstr[[#This Row],[Tot Hav]]*fh_lumber</f>
        <v>1000</v>
      </c>
      <c r="AD66" s="113">
        <f ca="1">OFFSET(TblConstr[[#This Row],[Tot Tow]],1,0)*(tower_mana + tech_4_5*TblTech[[#This Row],[4-5]])</f>
        <v>375</v>
      </c>
      <c r="AE66" s="113">
        <f ca="1">OFFSET(TblConstr[[#This Row],[Tot OM]],1,0)*om_ore+IF(race="Dwarf",ROUNDDOWN(TblMili[[#This Row],[Unit 2]]/2,0),)</f>
        <v>1800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0.1</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894.84</v>
      </c>
      <c r="AP66" s="113">
        <f ca="1">(1+race_food_consumption)*TblPop[[#This Row],[Total]]*food_per_person*(1+tech_1_10*TblTech[[#This Row],[1-10]]+tech_7_5*TblTech[[#This Row],[7-5]])</f>
        <v>2490.75</v>
      </c>
      <c r="AQ66" s="113">
        <f ca="1">TblProd[[#This Row],[Lumber]]*lumber_rot * (1 + tech_2_1*TblTech[[#This Row],[2-1]] + tech_2_8*TblTech[[#This Row],[2-8]] + tech_5_2*TblTech[[#This Row],[5-2]])</f>
        <v>273.95999999999998</v>
      </c>
      <c r="AR66" s="113">
        <f ca="1">TblProd[[#This Row],[Mana]]*mana_drain * (1 + tech_2_1*TblTech[[#This Row],[2-1]] + tech_2_8*TblTech[[#This Row],[2-8]])</f>
        <v>143.09</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44407.333333333183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155627</v>
      </c>
      <c r="BJ66" s="113">
        <f ca="1">TblProd[[#This Row],[Food]]</f>
        <v>89484</v>
      </c>
      <c r="BK66" s="113">
        <f ca="1">TblProd[[#This Row],[Lumber]]</f>
        <v>27396</v>
      </c>
      <c r="BL66" s="113">
        <f ca="1">TblProd[[#This Row],[Mana]]</f>
        <v>7154.5</v>
      </c>
      <c r="BM66" s="113">
        <f ca="1">TblProd[[#This Row],[Ore]]</f>
        <v>12000</v>
      </c>
    </row>
    <row r="67" spans="1:65" x14ac:dyDescent="0.2">
      <c r="A67" s="178">
        <v>64</v>
      </c>
      <c r="B67" s="198">
        <f ca="1">TblImps[[#This Row],[Time]]</f>
        <v>44407.374999999847</v>
      </c>
      <c r="C67" s="199"/>
      <c r="D67" s="200"/>
      <c r="E67" s="113">
        <f ca="1">TblConstr[[#This Row],[Land]]</f>
        <v>600</v>
      </c>
      <c r="F67" s="113">
        <f ca="1">TblPop[[#This Row],[Peasants]]</f>
        <v>8082</v>
      </c>
      <c r="G67" s="113">
        <f ca="1">TblMili[[#This Row],[Networth (2)]]</f>
        <v>15250</v>
      </c>
      <c r="H67" s="113">
        <f ca="1">OFFSET(TblProd[[#This Row],[Platinum]],-1,0)+OFFSET(TblProd[[#This Row],[Plat/hr]],-1,0) - TblProd[[#This Row],[Expenses Platinum]] + IF(TblProd[[#This Row],[Plat Bonus]],TblPop[[#This Row],[Peasants]]*4) + SUM(TblConstr[[#This Row],[Dest Hom]:[Dest Doc]])*TblConstr[[#This Row],[CPA Platinum -DB]]*tech_3_3_2*TblTech[[#This Row],[3-3]]</f>
        <v>2686</v>
      </c>
      <c r="I67" s="113">
        <f ca="1">OFFSET(TblProd[[#This Row],[Food]],-1,0)+OFFSET(TblProd[[#This Row],[Food/hr]],-1,0)+ROUNDUP((TblConstr[[#This Row],[Farms]]*80+TblConstr[[#This Row],[Docks]]*35)*(1+OFFSET(TblProd[[#This Row],[Bonus Food/hr]],-1,0)),0)</f>
        <v>89431</v>
      </c>
      <c r="J67" s="113">
        <f ca="1">OFFSET(TblProd[[#This Row],[Lumber]],-1,0)+OFFSET(TblProd[[#This Row],[Lumber/hr]],-1,0) - TblProd[[#This Row],[Expenses Lumber]] + SUM(TblConstr[[#This Row],[Dest Hom]:[Dest Doc]])*TblConstr[[#This Row],[CPA Lumber -DB]]*tech_3_3_2*TblTech[[#This Row],[3-3]]</f>
        <v>28122</v>
      </c>
      <c r="K67" s="113">
        <f ca="1">OFFSET(TblProd[[#This Row],[Mana]],-1,0)+OFFSET(TblProd[[#This Row],[Mana/hr]],-1,0)- TblProd[[#This Row],[Expenses Mana]]</f>
        <v>5886.5</v>
      </c>
      <c r="L67" s="113">
        <f ca="1">OFFSET(TblProd[[#This Row],[Ore]],-1,0)+OFFSET(TblProd[[#This Row],[Ore/hr]],-1,0) -TblProd[[#This Row],[Expenses Ore]]</f>
        <v>2990</v>
      </c>
      <c r="M67" s="113">
        <f ca="1">OFFSET(TblProd[[#This Row],[Gems]],-1,0)+OFFSET(TblProd[[#This Row],[Gems/hr]],-1,0) - TblProd[[#This Row],[Expenses Gems]]</f>
        <v>0</v>
      </c>
      <c r="N67" s="113">
        <f ca="1">OFFSET(TblProd[[#This Row],[Boats]],-1,0)+OFFSET(TblProd[[#This Row],[Boats/hr]],-1,0)</f>
        <v>40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2250</v>
      </c>
      <c r="Q67" s="113">
        <v>10000</v>
      </c>
      <c r="R67" s="184"/>
      <c r="S67" s="113">
        <f ca="1">ROUNDDOWN(TblProd[[#This Row],[Raw Plat/hr]]*(1+TblProd[[#This Row],[Bonus Plat/hr]]),0)</f>
        <v>37071</v>
      </c>
      <c r="T67" s="113">
        <f ca="1">ROUND(TblProd[[#This Row],[Raw Food/hr]]*(1+TblProd[[#This Row],[Bonus Food/hr]])-TblProd[[#This Row],[Food decay]]-TblProd[[#This Row],[Food eaten]],0)</f>
        <v>-53</v>
      </c>
      <c r="U67" s="113">
        <f ca="1">ROUND(TblProd[[#This Row],[Raw Lumber/hr]]*(1+TblProd[[#This Row],[Bonus Lumber/hr]])-TblProd[[#This Row],[Lumber rot]],0)</f>
        <v>719</v>
      </c>
      <c r="V67" s="113">
        <f ca="1">ROUND(TblProd[[#This Row],[Raw Mana/hr]]*(1+TblProd[[#This Row],[Bonus Mana/hr]])-TblProd[[#This Row],[Mana drain]],0)</f>
        <v>257</v>
      </c>
      <c r="W67" s="113">
        <f ca="1">ROUNDDOWN(TblProd[[#This Row],[Raw Ore/hr]]*(1+TblProd[[#This Row],[Bonux Ore/hr]]),0)</f>
        <v>1800</v>
      </c>
      <c r="X67" s="113">
        <f ca="1">ROUNDDOWN(TblProd[[#This Row],[Raw Gems/hr]]*(1+TblProd[[#This Row],[Bonus Gems/hr]]),0)</f>
        <v>0</v>
      </c>
      <c r="Y67" s="201">
        <f ca="1">OFFSET(TblConstr[[#This Row],[Tot Doc]],1,0)*dock_boats_hr * (1 + tech_4_1*TblTech[[#This Row],[4-1]])</f>
        <v>1</v>
      </c>
      <c r="Z67" s="200"/>
      <c r="AA67" s="113">
        <f ca="1">TblPop[[#This Row],[Peasants]]*tax*TblPop[[#This Row],[Employment]] + (Construction!AZ68+Construction!BX68)*(alch_plat+(Magic!AL67&gt;0)*alchemist_flame_bonus)</f>
        <v>33701.4</v>
      </c>
      <c r="AB67" s="113">
        <f ca="1">TblConstr[[#This Row],[Tot Farm]]*farm_food + TblConstr[[#This Row],[Tot Doc]]*dock_food</f>
        <v>3100</v>
      </c>
      <c r="AC67" s="113">
        <f ca="1">TblConstr[[#This Row],[Tot Ly]]*ly_lumber + TblConstr[[#This Row],[Tot Hav]]*fh_lumber</f>
        <v>1000</v>
      </c>
      <c r="AD67" s="113">
        <f ca="1">OFFSET(TblConstr[[#This Row],[Tot Tow]],1,0)*(tower_mana + tech_4_5*TblTech[[#This Row],[4-5]])</f>
        <v>375</v>
      </c>
      <c r="AE67" s="113">
        <f ca="1">OFFSET(TblConstr[[#This Row],[Tot OM]],1,0)*om_ore+IF(race="Dwarf",ROUNDDOWN(TblMili[[#This Row],[Unit 2]]/2,0),)</f>
        <v>1800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0.1</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894.31000000000006</v>
      </c>
      <c r="AP67" s="113">
        <f ca="1">(1+race_food_consumption)*TblPop[[#This Row],[Total]]*food_per_person*(1+tech_1_10*TblTech[[#This Row],[1-10]]+tech_7_5*TblTech[[#This Row],[7-5]])</f>
        <v>2490.75</v>
      </c>
      <c r="AQ67" s="113">
        <f ca="1">TblProd[[#This Row],[Lumber]]*lumber_rot * (1 + tech_2_1*TblTech[[#This Row],[2-1]] + tech_2_8*TblTech[[#This Row],[2-8]] + tech_5_2*TblTech[[#This Row],[5-2]])</f>
        <v>281.22000000000003</v>
      </c>
      <c r="AR67" s="113">
        <f ca="1">TblProd[[#This Row],[Mana]]*mana_drain * (1 + tech_2_1*TblTech[[#This Row],[2-1]] + tech_2_8*TblTech[[#This Row],[2-8]])</f>
        <v>117.73</v>
      </c>
      <c r="AS67" s="200"/>
      <c r="AT67" s="113">
        <f ca="1">TblExplore[[#This Row],[Platinum (2)]]+TblConstr[[#This Row],[Total Plat Cost]]+TblMili[[#This Row],[Plat Cost]]+TblRezone[[#This Row],[Platinum cost]]+TblImps[[#This Row],[P1]]-TblProd[[#This Row],[Bank Plat]]</f>
        <v>190256</v>
      </c>
      <c r="AU67" s="113">
        <f ca="1">TblConstr[[#This Row],[Total Lum Cost]]+TblImps[[#This Row],[L1]]-TblProd[[#This Row],[Bank Lumber]] + Military!$CH$25*TblMili[[#This Row],[Sec. rec. Cost]]</f>
        <v>0</v>
      </c>
      <c r="AV67" s="113">
        <f ca="1">TblMagic[[#This Row],[Mana cost]] + Military!$CH$26*TblMili[[#This Row],[Sec. rec. Cost]]</f>
        <v>1500</v>
      </c>
      <c r="AW67" s="113">
        <f ca="1">Military!$CH$24*TblMili[[#This Row],[Sec. rec. Cost]]+TblImps[[#This Row],[O1]]-TblProd[[#This Row],[Bank Ore]]</f>
        <v>10810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44407.374999999847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2686</v>
      </c>
      <c r="BJ67" s="113">
        <f ca="1">TblProd[[#This Row],[Food]]</f>
        <v>89431</v>
      </c>
      <c r="BK67" s="113">
        <f ca="1">TblProd[[#This Row],[Lumber]]</f>
        <v>28122</v>
      </c>
      <c r="BL67" s="113">
        <f ca="1">TblProd[[#This Row],[Mana]]</f>
        <v>5886.5</v>
      </c>
      <c r="BM67" s="113">
        <f ca="1">TblProd[[#This Row],[Ore]]</f>
        <v>2990</v>
      </c>
    </row>
    <row r="68" spans="1:65" x14ac:dyDescent="0.2">
      <c r="A68" s="178">
        <v>65</v>
      </c>
      <c r="B68" s="198">
        <f ca="1">TblImps[[#This Row],[Time]]</f>
        <v>44407.416666666511</v>
      </c>
      <c r="C68" s="199"/>
      <c r="D68" s="200"/>
      <c r="E68" s="113">
        <f ca="1">TblConstr[[#This Row],[Land]]</f>
        <v>600</v>
      </c>
      <c r="F68" s="113">
        <f ca="1">TblPop[[#This Row],[Peasants]]</f>
        <v>8001</v>
      </c>
      <c r="G68" s="113">
        <f ca="1">TblMili[[#This Row],[Networth (2)]]</f>
        <v>15250</v>
      </c>
      <c r="H68" s="113">
        <f ca="1">OFFSET(TblProd[[#This Row],[Platinum]],-1,0)+OFFSET(TblProd[[#This Row],[Plat/hr]],-1,0) - TblProd[[#This Row],[Expenses Platinum]] + IF(TblProd[[#This Row],[Plat Bonus]],TblPop[[#This Row],[Peasants]]*4) + SUM(TblConstr[[#This Row],[Dest Hom]:[Dest Doc]])*TblConstr[[#This Row],[CPA Platinum -DB]]*tech_3_3_2*TblTech[[#This Row],[3-3]]</f>
        <v>39757</v>
      </c>
      <c r="I68" s="113">
        <f ca="1">OFFSET(TblProd[[#This Row],[Food]],-1,0)+OFFSET(TblProd[[#This Row],[Food/hr]],-1,0)+ROUNDUP((TblConstr[[#This Row],[Farms]]*80+TblConstr[[#This Row],[Docks]]*35)*(1+OFFSET(TblProd[[#This Row],[Bonus Food/hr]],-1,0)),0)</f>
        <v>89378</v>
      </c>
      <c r="J68" s="113">
        <f ca="1">OFFSET(TblProd[[#This Row],[Lumber]],-1,0)+OFFSET(TblProd[[#This Row],[Lumber/hr]],-1,0) - TblProd[[#This Row],[Expenses Lumber]] + SUM(TblConstr[[#This Row],[Dest Hom]:[Dest Doc]])*TblConstr[[#This Row],[CPA Lumber -DB]]*tech_3_3_2*TblTech[[#This Row],[3-3]]</f>
        <v>28841</v>
      </c>
      <c r="K68" s="113">
        <f ca="1">OFFSET(TblProd[[#This Row],[Mana]],-1,0)+OFFSET(TblProd[[#This Row],[Mana/hr]],-1,0)- TblProd[[#This Row],[Expenses Mana]]</f>
        <v>6143.5</v>
      </c>
      <c r="L68" s="113">
        <f ca="1">OFFSET(TblProd[[#This Row],[Ore]],-1,0)+OFFSET(TblProd[[#This Row],[Ore/hr]],-1,0) -TblProd[[#This Row],[Expenses Ore]]</f>
        <v>4790</v>
      </c>
      <c r="M68" s="113">
        <f ca="1">OFFSET(TblProd[[#This Row],[Gems]],-1,0)+OFFSET(TblProd[[#This Row],[Gems/hr]],-1,0) - TblProd[[#This Row],[Expenses Gems]]</f>
        <v>0</v>
      </c>
      <c r="N68" s="113">
        <f ca="1">OFFSET(TblProd[[#This Row],[Boats]],-1,0)+OFFSET(TblProd[[#This Row],[Boats/hr]],-1,0)</f>
        <v>41</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2250</v>
      </c>
      <c r="Q68" s="113">
        <v>10000</v>
      </c>
      <c r="R68" s="184"/>
      <c r="S68" s="113">
        <f ca="1">ROUNDDOWN(TblProd[[#This Row],[Raw Plat/hr]]*(1+TblProd[[#This Row],[Bonus Plat/hr]]),0)</f>
        <v>36830</v>
      </c>
      <c r="T68" s="113">
        <f ca="1">ROUND(TblProd[[#This Row],[Raw Food/hr]]*(1+TblProd[[#This Row],[Bonus Food/hr]])-TblProd[[#This Row],[Food decay]]-TblProd[[#This Row],[Food eaten]],0)</f>
        <v>-52</v>
      </c>
      <c r="U68" s="113">
        <f ca="1">ROUND(TblProd[[#This Row],[Raw Lumber/hr]]*(1+TblProd[[#This Row],[Bonus Lumber/hr]])-TblProd[[#This Row],[Lumber rot]],0)</f>
        <v>712</v>
      </c>
      <c r="V68" s="113">
        <f ca="1">ROUND(TblProd[[#This Row],[Raw Mana/hr]]*(1+TblProd[[#This Row],[Bonus Mana/hr]])-TblProd[[#This Row],[Mana drain]],0)</f>
        <v>252</v>
      </c>
      <c r="W68" s="113">
        <f ca="1">ROUNDDOWN(TblProd[[#This Row],[Raw Ore/hr]]*(1+TblProd[[#This Row],[Bonux Ore/hr]]),0)</f>
        <v>1800</v>
      </c>
      <c r="X68" s="113">
        <f ca="1">ROUNDDOWN(TblProd[[#This Row],[Raw Gems/hr]]*(1+TblProd[[#This Row],[Bonus Gems/hr]]),0)</f>
        <v>0</v>
      </c>
      <c r="Y68" s="201">
        <f ca="1">OFFSET(TblConstr[[#This Row],[Tot Doc]],1,0)*dock_boats_hr * (1 + tech_4_1*TblTech[[#This Row],[4-1]])</f>
        <v>1</v>
      </c>
      <c r="Z68" s="200"/>
      <c r="AA68" s="113">
        <f ca="1">TblPop[[#This Row],[Peasants]]*tax*TblPop[[#This Row],[Employment]] + (Construction!AZ69+Construction!BX69)*(alch_plat+(Magic!AL68&gt;0)*alchemist_flame_bonus)</f>
        <v>33482.699999999997</v>
      </c>
      <c r="AB68" s="113">
        <f ca="1">TblConstr[[#This Row],[Tot Farm]]*farm_food + TblConstr[[#This Row],[Tot Doc]]*dock_food</f>
        <v>3100</v>
      </c>
      <c r="AC68" s="113">
        <f ca="1">TblConstr[[#This Row],[Tot Ly]]*ly_lumber + TblConstr[[#This Row],[Tot Hav]]*fh_lumber</f>
        <v>1000</v>
      </c>
      <c r="AD68" s="113">
        <f ca="1">OFFSET(TblConstr[[#This Row],[Tot Tow]],1,0)*(tower_mana + tech_4_5*TblTech[[#This Row],[4-5]])</f>
        <v>375</v>
      </c>
      <c r="AE68" s="113">
        <f ca="1">OFFSET(TblConstr[[#This Row],[Tot OM]],1,0)*om_ore+IF(race="Dwarf",ROUNDDOWN(TblMili[[#This Row],[Unit 2]]/2,0),)</f>
        <v>1800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0.1</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893.78</v>
      </c>
      <c r="AP68" s="113">
        <f ca="1">(1+race_food_consumption)*TblPop[[#This Row],[Total]]*food_per_person*(1+tech_1_10*TblTech[[#This Row],[1-10]]+tech_7_5*TblTech[[#This Row],[7-5]])</f>
        <v>2490.75</v>
      </c>
      <c r="AQ68" s="113">
        <f ca="1">TblProd[[#This Row],[Lumber]]*lumber_rot * (1 + tech_2_1*TblTech[[#This Row],[2-1]] + tech_2_8*TblTech[[#This Row],[2-8]] + tech_5_2*TblTech[[#This Row],[5-2]])</f>
        <v>288.41000000000003</v>
      </c>
      <c r="AR68" s="113">
        <f ca="1">TblProd[[#This Row],[Mana]]*mana_drain * (1 + tech_2_1*TblTech[[#This Row],[2-1]] + tech_2_8*TblTech[[#This Row],[2-8]])</f>
        <v>122.87</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44407.416666666511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39757</v>
      </c>
      <c r="BJ68" s="113">
        <f ca="1">TblProd[[#This Row],[Food]]</f>
        <v>89378</v>
      </c>
      <c r="BK68" s="113">
        <f ca="1">TblProd[[#This Row],[Lumber]]</f>
        <v>28841</v>
      </c>
      <c r="BL68" s="113">
        <f ca="1">TblProd[[#This Row],[Mana]]</f>
        <v>6143.5</v>
      </c>
      <c r="BM68" s="113">
        <f ca="1">TblProd[[#This Row],[Ore]]</f>
        <v>4790</v>
      </c>
    </row>
    <row r="69" spans="1:65" x14ac:dyDescent="0.2">
      <c r="A69" s="178">
        <v>66</v>
      </c>
      <c r="B69" s="198">
        <f ca="1">TblImps[[#This Row],[Time]]</f>
        <v>44407.458333333176</v>
      </c>
      <c r="C69" s="199"/>
      <c r="D69" s="200"/>
      <c r="E69" s="113">
        <f ca="1">TblConstr[[#This Row],[Land]]</f>
        <v>600</v>
      </c>
      <c r="F69" s="113">
        <f ca="1">TblPop[[#This Row],[Peasants]]</f>
        <v>7921</v>
      </c>
      <c r="G69" s="113">
        <f ca="1">TblMili[[#This Row],[Networth (2)]]</f>
        <v>15250</v>
      </c>
      <c r="H69" s="113">
        <f ca="1">OFFSET(TblProd[[#This Row],[Platinum]],-1,0)+OFFSET(TblProd[[#This Row],[Plat/hr]],-1,0) - TblProd[[#This Row],[Expenses Platinum]] + IF(TblProd[[#This Row],[Plat Bonus]],TblPop[[#This Row],[Peasants]]*4) + SUM(TblConstr[[#This Row],[Dest Hom]:[Dest Doc]])*TblConstr[[#This Row],[CPA Platinum -DB]]*tech_3_3_2*TblTech[[#This Row],[3-3]]</f>
        <v>76587</v>
      </c>
      <c r="I69" s="113">
        <f ca="1">OFFSET(TblProd[[#This Row],[Food]],-1,0)+OFFSET(TblProd[[#This Row],[Food/hr]],-1,0)+ROUNDUP((TblConstr[[#This Row],[Farms]]*80+TblConstr[[#This Row],[Docks]]*35)*(1+OFFSET(TblProd[[#This Row],[Bonus Food/hr]],-1,0)),0)</f>
        <v>89326</v>
      </c>
      <c r="J69" s="113">
        <f ca="1">OFFSET(TblProd[[#This Row],[Lumber]],-1,0)+OFFSET(TblProd[[#This Row],[Lumber/hr]],-1,0) - TblProd[[#This Row],[Expenses Lumber]] + SUM(TblConstr[[#This Row],[Dest Hom]:[Dest Doc]])*TblConstr[[#This Row],[CPA Lumber -DB]]*tech_3_3_2*TblTech[[#This Row],[3-3]]</f>
        <v>29553</v>
      </c>
      <c r="K69" s="113">
        <f ca="1">OFFSET(TblProd[[#This Row],[Mana]],-1,0)+OFFSET(TblProd[[#This Row],[Mana/hr]],-1,0)- TblProd[[#This Row],[Expenses Mana]]</f>
        <v>6395.5</v>
      </c>
      <c r="L69" s="113">
        <f ca="1">OFFSET(TblProd[[#This Row],[Ore]],-1,0)+OFFSET(TblProd[[#This Row],[Ore/hr]],-1,0) -TblProd[[#This Row],[Expenses Ore]]</f>
        <v>6590</v>
      </c>
      <c r="M69" s="113">
        <f ca="1">OFFSET(TblProd[[#This Row],[Gems]],-1,0)+OFFSET(TblProd[[#This Row],[Gems/hr]],-1,0) - TblProd[[#This Row],[Expenses Gems]]</f>
        <v>0</v>
      </c>
      <c r="N69" s="113">
        <f ca="1">OFFSET(TblProd[[#This Row],[Boats]],-1,0)+OFFSET(TblProd[[#This Row],[Boats/hr]],-1,0)</f>
        <v>42</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2250</v>
      </c>
      <c r="Q69" s="113">
        <v>10000</v>
      </c>
      <c r="R69" s="184"/>
      <c r="S69" s="113">
        <f ca="1">ROUNDDOWN(TblProd[[#This Row],[Raw Plat/hr]]*(1+TblProd[[#This Row],[Bonus Plat/hr]]),0)</f>
        <v>36593</v>
      </c>
      <c r="T69" s="113">
        <f ca="1">ROUND(TblProd[[#This Row],[Raw Food/hr]]*(1+TblProd[[#This Row],[Bonus Food/hr]])-TblProd[[#This Row],[Food decay]]-TblProd[[#This Row],[Food eaten]],0)</f>
        <v>-52</v>
      </c>
      <c r="U69" s="113">
        <f ca="1">ROUND(TblProd[[#This Row],[Raw Lumber/hr]]*(1+TblProd[[#This Row],[Bonus Lumber/hr]])-TblProd[[#This Row],[Lumber rot]],0)</f>
        <v>704</v>
      </c>
      <c r="V69" s="113">
        <f ca="1">ROUND(TblProd[[#This Row],[Raw Mana/hr]]*(1+TblProd[[#This Row],[Bonus Mana/hr]])-TblProd[[#This Row],[Mana drain]],0)</f>
        <v>247</v>
      </c>
      <c r="W69" s="113">
        <f ca="1">ROUNDDOWN(TblProd[[#This Row],[Raw Ore/hr]]*(1+TblProd[[#This Row],[Bonux Ore/hr]]),0)</f>
        <v>1800</v>
      </c>
      <c r="X69" s="113">
        <f ca="1">ROUNDDOWN(TblProd[[#This Row],[Raw Gems/hr]]*(1+TblProd[[#This Row],[Bonus Gems/hr]]),0)</f>
        <v>0</v>
      </c>
      <c r="Y69" s="201">
        <f ca="1">OFFSET(TblConstr[[#This Row],[Tot Doc]],1,0)*dock_boats_hr * (1 + tech_4_1*TblTech[[#This Row],[4-1]])</f>
        <v>1</v>
      </c>
      <c r="Z69" s="200"/>
      <c r="AA69" s="113">
        <f ca="1">TblPop[[#This Row],[Peasants]]*tax*TblPop[[#This Row],[Employment]] + (Construction!AZ70+Construction!BX70)*(alch_plat+(Magic!AL69&gt;0)*alchemist_flame_bonus)</f>
        <v>33266.699999999997</v>
      </c>
      <c r="AB69" s="113">
        <f ca="1">TblConstr[[#This Row],[Tot Farm]]*farm_food + TblConstr[[#This Row],[Tot Doc]]*dock_food</f>
        <v>3100</v>
      </c>
      <c r="AC69" s="113">
        <f ca="1">TblConstr[[#This Row],[Tot Ly]]*ly_lumber + TblConstr[[#This Row],[Tot Hav]]*fh_lumber</f>
        <v>1000</v>
      </c>
      <c r="AD69" s="113">
        <f ca="1">OFFSET(TblConstr[[#This Row],[Tot Tow]],1,0)*(tower_mana + tech_4_5*TblTech[[#This Row],[4-5]])</f>
        <v>375</v>
      </c>
      <c r="AE69" s="113">
        <f ca="1">OFFSET(TblConstr[[#This Row],[Tot OM]],1,0)*om_ore+IF(race="Dwarf",ROUNDDOWN(TblMili[[#This Row],[Unit 2]]/2,0),)</f>
        <v>1800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0.1</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893.26</v>
      </c>
      <c r="AP69" s="113">
        <f ca="1">(1+race_food_consumption)*TblPop[[#This Row],[Total]]*food_per_person*(1+tech_1_10*TblTech[[#This Row],[1-10]]+tech_7_5*TblTech[[#This Row],[7-5]])</f>
        <v>2490.75</v>
      </c>
      <c r="AQ69" s="113">
        <f ca="1">TblProd[[#This Row],[Lumber]]*lumber_rot * (1 + tech_2_1*TblTech[[#This Row],[2-1]] + tech_2_8*TblTech[[#This Row],[2-8]] + tech_5_2*TblTech[[#This Row],[5-2]])</f>
        <v>295.53000000000003</v>
      </c>
      <c r="AR69" s="113">
        <f ca="1">TblProd[[#This Row],[Mana]]*mana_drain * (1 + tech_2_1*TblTech[[#This Row],[2-1]] + tech_2_8*TblTech[[#This Row],[2-8]])</f>
        <v>127.91</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44407.458333333176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76587</v>
      </c>
      <c r="BJ69" s="113">
        <f ca="1">TblProd[[#This Row],[Food]]</f>
        <v>89326</v>
      </c>
      <c r="BK69" s="113">
        <f ca="1">TblProd[[#This Row],[Lumber]]</f>
        <v>29553</v>
      </c>
      <c r="BL69" s="113">
        <f ca="1">TblProd[[#This Row],[Mana]]</f>
        <v>6395.5</v>
      </c>
      <c r="BM69" s="113">
        <f ca="1">TblProd[[#This Row],[Ore]]</f>
        <v>6590</v>
      </c>
    </row>
    <row r="70" spans="1:65" x14ac:dyDescent="0.2">
      <c r="A70" s="178">
        <v>67</v>
      </c>
      <c r="B70" s="198">
        <f ca="1">TblImps[[#This Row],[Time]]</f>
        <v>44407.49999999984</v>
      </c>
      <c r="C70" s="199"/>
      <c r="D70" s="200"/>
      <c r="E70" s="113">
        <f ca="1">TblConstr[[#This Row],[Land]]</f>
        <v>600</v>
      </c>
      <c r="F70" s="113">
        <f ca="1">TblPop[[#This Row],[Peasants]]</f>
        <v>7842</v>
      </c>
      <c r="G70" s="113">
        <f ca="1">TblMili[[#This Row],[Networth (2)]]</f>
        <v>15250</v>
      </c>
      <c r="H70" s="113">
        <f ca="1">OFFSET(TblProd[[#This Row],[Platinum]],-1,0)+OFFSET(TblProd[[#This Row],[Plat/hr]],-1,0) - TblProd[[#This Row],[Expenses Platinum]] + IF(TblProd[[#This Row],[Plat Bonus]],TblPop[[#This Row],[Peasants]]*4) + SUM(TblConstr[[#This Row],[Dest Hom]:[Dest Doc]])*TblConstr[[#This Row],[CPA Platinum -DB]]*tech_3_3_2*TblTech[[#This Row],[3-3]]</f>
        <v>113180</v>
      </c>
      <c r="I70" s="113">
        <f ca="1">OFFSET(TblProd[[#This Row],[Food]],-1,0)+OFFSET(TblProd[[#This Row],[Food/hr]],-1,0)+ROUNDUP((TblConstr[[#This Row],[Farms]]*80+TblConstr[[#This Row],[Docks]]*35)*(1+OFFSET(TblProd[[#This Row],[Bonus Food/hr]],-1,0)),0)</f>
        <v>89274</v>
      </c>
      <c r="J70" s="113">
        <f ca="1">OFFSET(TblProd[[#This Row],[Lumber]],-1,0)+OFFSET(TblProd[[#This Row],[Lumber/hr]],-1,0) - TblProd[[#This Row],[Expenses Lumber]] + SUM(TblConstr[[#This Row],[Dest Hom]:[Dest Doc]])*TblConstr[[#This Row],[CPA Lumber -DB]]*tech_3_3_2*TblTech[[#This Row],[3-3]]</f>
        <v>30257</v>
      </c>
      <c r="K70" s="113">
        <f ca="1">OFFSET(TblProd[[#This Row],[Mana]],-1,0)+OFFSET(TblProd[[#This Row],[Mana/hr]],-1,0)- TblProd[[#This Row],[Expenses Mana]]</f>
        <v>6642.5</v>
      </c>
      <c r="L70" s="113">
        <f ca="1">OFFSET(TblProd[[#This Row],[Ore]],-1,0)+OFFSET(TblProd[[#This Row],[Ore/hr]],-1,0) -TblProd[[#This Row],[Expenses Ore]]</f>
        <v>8390</v>
      </c>
      <c r="M70" s="113">
        <f ca="1">OFFSET(TblProd[[#This Row],[Gems]],-1,0)+OFFSET(TblProd[[#This Row],[Gems/hr]],-1,0) - TblProd[[#This Row],[Expenses Gems]]</f>
        <v>0</v>
      </c>
      <c r="N70" s="113">
        <f ca="1">OFFSET(TblProd[[#This Row],[Boats]],-1,0)+OFFSET(TblProd[[#This Row],[Boats/hr]],-1,0)</f>
        <v>43</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2250</v>
      </c>
      <c r="Q70" s="113">
        <v>10000</v>
      </c>
      <c r="R70" s="184"/>
      <c r="S70" s="113">
        <f ca="1">ROUNDDOWN(TblProd[[#This Row],[Raw Plat/hr]]*(1+TblProd[[#This Row],[Bonus Plat/hr]]),0)</f>
        <v>36358</v>
      </c>
      <c r="T70" s="113">
        <f ca="1">ROUND(TblProd[[#This Row],[Raw Food/hr]]*(1+TblProd[[#This Row],[Bonus Food/hr]])-TblProd[[#This Row],[Food decay]]-TblProd[[#This Row],[Food eaten]],0)</f>
        <v>-51</v>
      </c>
      <c r="U70" s="113">
        <f ca="1">ROUND(TblProd[[#This Row],[Raw Lumber/hr]]*(1+TblProd[[#This Row],[Bonus Lumber/hr]])-TblProd[[#This Row],[Lumber rot]],0)</f>
        <v>697</v>
      </c>
      <c r="V70" s="113">
        <f ca="1">ROUND(TblProd[[#This Row],[Raw Mana/hr]]*(1+TblProd[[#This Row],[Bonus Mana/hr]])-TblProd[[#This Row],[Mana drain]],0)</f>
        <v>242</v>
      </c>
      <c r="W70" s="113">
        <f ca="1">ROUNDDOWN(TblProd[[#This Row],[Raw Ore/hr]]*(1+TblProd[[#This Row],[Bonux Ore/hr]]),0)</f>
        <v>1800</v>
      </c>
      <c r="X70" s="113">
        <f ca="1">ROUNDDOWN(TblProd[[#This Row],[Raw Gems/hr]]*(1+TblProd[[#This Row],[Bonus Gems/hr]]),0)</f>
        <v>0</v>
      </c>
      <c r="Y70" s="201">
        <f ca="1">OFFSET(TblConstr[[#This Row],[Tot Doc]],1,0)*dock_boats_hr * (1 + tech_4_1*TblTech[[#This Row],[4-1]])</f>
        <v>1</v>
      </c>
      <c r="Z70" s="200"/>
      <c r="AA70" s="113">
        <f ca="1">TblPop[[#This Row],[Peasants]]*tax*TblPop[[#This Row],[Employment]] + (Construction!AZ71+Construction!BX71)*(alch_plat+(Magic!AL70&gt;0)*alchemist_flame_bonus)</f>
        <v>33053.4</v>
      </c>
      <c r="AB70" s="113">
        <f ca="1">TblConstr[[#This Row],[Tot Farm]]*farm_food + TblConstr[[#This Row],[Tot Doc]]*dock_food</f>
        <v>3100</v>
      </c>
      <c r="AC70" s="113">
        <f ca="1">TblConstr[[#This Row],[Tot Ly]]*ly_lumber + TblConstr[[#This Row],[Tot Hav]]*fh_lumber</f>
        <v>1000</v>
      </c>
      <c r="AD70" s="113">
        <f ca="1">OFFSET(TblConstr[[#This Row],[Tot Tow]],1,0)*(tower_mana + tech_4_5*TblTech[[#This Row],[4-5]])</f>
        <v>375</v>
      </c>
      <c r="AE70" s="113">
        <f ca="1">OFFSET(TblConstr[[#This Row],[Tot OM]],1,0)*om_ore+IF(race="Dwarf",ROUNDDOWN(TblMili[[#This Row],[Unit 2]]/2,0),)</f>
        <v>1800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0.1</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892.74</v>
      </c>
      <c r="AP70" s="113">
        <f ca="1">(1+race_food_consumption)*TblPop[[#This Row],[Total]]*food_per_person*(1+tech_1_10*TblTech[[#This Row],[1-10]]+tech_7_5*TblTech[[#This Row],[7-5]])</f>
        <v>2490.75</v>
      </c>
      <c r="AQ70" s="113">
        <f ca="1">TblProd[[#This Row],[Lumber]]*lumber_rot * (1 + tech_2_1*TblTech[[#This Row],[2-1]] + tech_2_8*TblTech[[#This Row],[2-8]] + tech_5_2*TblTech[[#This Row],[5-2]])</f>
        <v>302.57</v>
      </c>
      <c r="AR70" s="113">
        <f ca="1">TblProd[[#This Row],[Mana]]*mana_drain * (1 + tech_2_1*TblTech[[#This Row],[2-1]] + tech_2_8*TblTech[[#This Row],[2-8]])</f>
        <v>132.85</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44407.49999999984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113180</v>
      </c>
      <c r="BJ70" s="113">
        <f ca="1">TblProd[[#This Row],[Food]]</f>
        <v>89274</v>
      </c>
      <c r="BK70" s="113">
        <f ca="1">TblProd[[#This Row],[Lumber]]</f>
        <v>30257</v>
      </c>
      <c r="BL70" s="113">
        <f ca="1">TblProd[[#This Row],[Mana]]</f>
        <v>6642.5</v>
      </c>
      <c r="BM70" s="113">
        <f ca="1">TblProd[[#This Row],[Ore]]</f>
        <v>8390</v>
      </c>
    </row>
    <row r="71" spans="1:65" x14ac:dyDescent="0.2">
      <c r="A71" s="178">
        <v>68</v>
      </c>
      <c r="B71" s="198">
        <f ca="1">TblImps[[#This Row],[Time]]</f>
        <v>44407.541666666504</v>
      </c>
      <c r="C71" s="199"/>
      <c r="D71" s="200"/>
      <c r="E71" s="113">
        <f ca="1">TblConstr[[#This Row],[Land]]</f>
        <v>600</v>
      </c>
      <c r="F71" s="113">
        <f ca="1">TblPop[[#This Row],[Peasants]]</f>
        <v>7764</v>
      </c>
      <c r="G71" s="113">
        <f ca="1">TblMili[[#This Row],[Networth (2)]]</f>
        <v>15250</v>
      </c>
      <c r="H71" s="113">
        <f ca="1">OFFSET(TblProd[[#This Row],[Platinum]],-1,0)+OFFSET(TblProd[[#This Row],[Plat/hr]],-1,0) - TblProd[[#This Row],[Expenses Platinum]] + IF(TblProd[[#This Row],[Plat Bonus]],TblPop[[#This Row],[Peasants]]*4) + SUM(TblConstr[[#This Row],[Dest Hom]:[Dest Doc]])*TblConstr[[#This Row],[CPA Platinum -DB]]*tech_3_3_2*TblTech[[#This Row],[3-3]]</f>
        <v>149538</v>
      </c>
      <c r="I71" s="113">
        <f ca="1">OFFSET(TblProd[[#This Row],[Food]],-1,0)+OFFSET(TblProd[[#This Row],[Food/hr]],-1,0)+ROUNDUP((TblConstr[[#This Row],[Farms]]*80+TblConstr[[#This Row],[Docks]]*35)*(1+OFFSET(TblProd[[#This Row],[Bonus Food/hr]],-1,0)),0)</f>
        <v>89223</v>
      </c>
      <c r="J71" s="113">
        <f ca="1">OFFSET(TblProd[[#This Row],[Lumber]],-1,0)+OFFSET(TblProd[[#This Row],[Lumber/hr]],-1,0) - TblProd[[#This Row],[Expenses Lumber]] + SUM(TblConstr[[#This Row],[Dest Hom]:[Dest Doc]])*TblConstr[[#This Row],[CPA Lumber -DB]]*tech_3_3_2*TblTech[[#This Row],[3-3]]</f>
        <v>30954</v>
      </c>
      <c r="K71" s="113">
        <f ca="1">OFFSET(TblProd[[#This Row],[Mana]],-1,0)+OFFSET(TblProd[[#This Row],[Mana/hr]],-1,0)- TblProd[[#This Row],[Expenses Mana]]</f>
        <v>6884.5</v>
      </c>
      <c r="L71" s="113">
        <f ca="1">OFFSET(TblProd[[#This Row],[Ore]],-1,0)+OFFSET(TblProd[[#This Row],[Ore/hr]],-1,0) -TblProd[[#This Row],[Expenses Ore]]</f>
        <v>10190</v>
      </c>
      <c r="M71" s="113">
        <f ca="1">OFFSET(TblProd[[#This Row],[Gems]],-1,0)+OFFSET(TblProd[[#This Row],[Gems/hr]],-1,0) - TblProd[[#This Row],[Expenses Gems]]</f>
        <v>0</v>
      </c>
      <c r="N71" s="113">
        <f ca="1">OFFSET(TblProd[[#This Row],[Boats]],-1,0)+OFFSET(TblProd[[#This Row],[Boats/hr]],-1,0)</f>
        <v>44</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2250</v>
      </c>
      <c r="Q71" s="113">
        <v>10000</v>
      </c>
      <c r="R71" s="184"/>
      <c r="S71" s="113">
        <f ca="1">ROUNDDOWN(TblProd[[#This Row],[Raw Plat/hr]]*(1+TblProd[[#This Row],[Bonus Plat/hr]]),0)</f>
        <v>36127</v>
      </c>
      <c r="T71" s="113">
        <f ca="1">ROUND(TblProd[[#This Row],[Raw Food/hr]]*(1+TblProd[[#This Row],[Bonus Food/hr]])-TblProd[[#This Row],[Food decay]]-TblProd[[#This Row],[Food eaten]],0)</f>
        <v>-50</v>
      </c>
      <c r="U71" s="113">
        <f ca="1">ROUND(TblProd[[#This Row],[Raw Lumber/hr]]*(1+TblProd[[#This Row],[Bonus Lumber/hr]])-TblProd[[#This Row],[Lumber rot]],0)</f>
        <v>690</v>
      </c>
      <c r="V71" s="113">
        <f ca="1">ROUND(TblProd[[#This Row],[Raw Mana/hr]]*(1+TblProd[[#This Row],[Bonus Mana/hr]])-TblProd[[#This Row],[Mana drain]],0)</f>
        <v>237</v>
      </c>
      <c r="W71" s="113">
        <f ca="1">ROUNDDOWN(TblProd[[#This Row],[Raw Ore/hr]]*(1+TblProd[[#This Row],[Bonux Ore/hr]]),0)</f>
        <v>1800</v>
      </c>
      <c r="X71" s="113">
        <f ca="1">ROUNDDOWN(TblProd[[#This Row],[Raw Gems/hr]]*(1+TblProd[[#This Row],[Bonus Gems/hr]]),0)</f>
        <v>0</v>
      </c>
      <c r="Y71" s="201">
        <f ca="1">OFFSET(TblConstr[[#This Row],[Tot Doc]],1,0)*dock_boats_hr * (1 + tech_4_1*TblTech[[#This Row],[4-1]])</f>
        <v>1</v>
      </c>
      <c r="Z71" s="200"/>
      <c r="AA71" s="113">
        <f ca="1">TblPop[[#This Row],[Peasants]]*tax*TblPop[[#This Row],[Employment]] + (Construction!AZ72+Construction!BX72)*(alch_plat+(Magic!AL71&gt;0)*alchemist_flame_bonus)</f>
        <v>32842.800000000003</v>
      </c>
      <c r="AB71" s="113">
        <f ca="1">TblConstr[[#This Row],[Tot Farm]]*farm_food + TblConstr[[#This Row],[Tot Doc]]*dock_food</f>
        <v>3100</v>
      </c>
      <c r="AC71" s="113">
        <f ca="1">TblConstr[[#This Row],[Tot Ly]]*ly_lumber + TblConstr[[#This Row],[Tot Hav]]*fh_lumber</f>
        <v>1000</v>
      </c>
      <c r="AD71" s="113">
        <f ca="1">OFFSET(TblConstr[[#This Row],[Tot Tow]],1,0)*(tower_mana + tech_4_5*TblTech[[#This Row],[4-5]])</f>
        <v>375</v>
      </c>
      <c r="AE71" s="113">
        <f ca="1">OFFSET(TblConstr[[#This Row],[Tot OM]],1,0)*om_ore+IF(race="Dwarf",ROUNDDOWN(TblMili[[#This Row],[Unit 2]]/2,0),)</f>
        <v>1800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0.1</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892.23</v>
      </c>
      <c r="AP71" s="113">
        <f ca="1">(1+race_food_consumption)*TblPop[[#This Row],[Total]]*food_per_person*(1+tech_1_10*TblTech[[#This Row],[1-10]]+tech_7_5*TblTech[[#This Row],[7-5]])</f>
        <v>2490.75</v>
      </c>
      <c r="AQ71" s="113">
        <f ca="1">TblProd[[#This Row],[Lumber]]*lumber_rot * (1 + tech_2_1*TblTech[[#This Row],[2-1]] + tech_2_8*TblTech[[#This Row],[2-8]] + tech_5_2*TblTech[[#This Row],[5-2]])</f>
        <v>309.54000000000002</v>
      </c>
      <c r="AR71" s="113">
        <f ca="1">TblProd[[#This Row],[Mana]]*mana_drain * (1 + tech_2_1*TblTech[[#This Row],[2-1]] + tech_2_8*TblTech[[#This Row],[2-8]])</f>
        <v>137.69</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44407.541666666504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149538</v>
      </c>
      <c r="BJ71" s="113">
        <f ca="1">TblProd[[#This Row],[Food]]</f>
        <v>89223</v>
      </c>
      <c r="BK71" s="113">
        <f ca="1">TblProd[[#This Row],[Lumber]]</f>
        <v>30954</v>
      </c>
      <c r="BL71" s="113">
        <f ca="1">TblProd[[#This Row],[Mana]]</f>
        <v>6884.5</v>
      </c>
      <c r="BM71" s="113">
        <f ca="1">TblProd[[#This Row],[Ore]]</f>
        <v>10190</v>
      </c>
    </row>
    <row r="72" spans="1:65" x14ac:dyDescent="0.2">
      <c r="A72" s="178">
        <v>69</v>
      </c>
      <c r="B72" s="198">
        <f ca="1">TblImps[[#This Row],[Time]]</f>
        <v>44407.583333333168</v>
      </c>
      <c r="C72" s="199"/>
      <c r="D72" s="200"/>
      <c r="E72" s="113">
        <f ca="1">TblConstr[[#This Row],[Land]]</f>
        <v>600</v>
      </c>
      <c r="F72" s="113">
        <f ca="1">TblPop[[#This Row],[Peasants]]</f>
        <v>7686</v>
      </c>
      <c r="G72" s="113">
        <f ca="1">TblMili[[#This Row],[Networth (2)]]</f>
        <v>15250</v>
      </c>
      <c r="H72" s="113">
        <f ca="1">OFFSET(TblProd[[#This Row],[Platinum]],-1,0)+OFFSET(TblProd[[#This Row],[Plat/hr]],-1,0) - TblProd[[#This Row],[Expenses Platinum]] + IF(TblProd[[#This Row],[Plat Bonus]],TblPop[[#This Row],[Peasants]]*4) + SUM(TblConstr[[#This Row],[Dest Hom]:[Dest Doc]])*TblConstr[[#This Row],[CPA Platinum -DB]]*tech_3_3_2*TblTech[[#This Row],[3-3]]</f>
        <v>185665</v>
      </c>
      <c r="I72" s="113">
        <f ca="1">OFFSET(TblProd[[#This Row],[Food]],-1,0)+OFFSET(TblProd[[#This Row],[Food/hr]],-1,0)+ROUNDUP((TblConstr[[#This Row],[Farms]]*80+TblConstr[[#This Row],[Docks]]*35)*(1+OFFSET(TblProd[[#This Row],[Bonus Food/hr]],-1,0)),0)</f>
        <v>89173</v>
      </c>
      <c r="J72" s="113">
        <f ca="1">OFFSET(TblProd[[#This Row],[Lumber]],-1,0)+OFFSET(TblProd[[#This Row],[Lumber/hr]],-1,0) - TblProd[[#This Row],[Expenses Lumber]] + SUM(TblConstr[[#This Row],[Dest Hom]:[Dest Doc]])*TblConstr[[#This Row],[CPA Lumber -DB]]*tech_3_3_2*TblTech[[#This Row],[3-3]]</f>
        <v>31644</v>
      </c>
      <c r="K72" s="113">
        <f ca="1">OFFSET(TblProd[[#This Row],[Mana]],-1,0)+OFFSET(TblProd[[#This Row],[Mana/hr]],-1,0)- TblProd[[#This Row],[Expenses Mana]]</f>
        <v>7121.5</v>
      </c>
      <c r="L72" s="113">
        <f ca="1">OFFSET(TblProd[[#This Row],[Ore]],-1,0)+OFFSET(TblProd[[#This Row],[Ore/hr]],-1,0) -TblProd[[#This Row],[Expenses Ore]]</f>
        <v>11990</v>
      </c>
      <c r="M72" s="113">
        <f ca="1">OFFSET(TblProd[[#This Row],[Gems]],-1,0)+OFFSET(TblProd[[#This Row],[Gems/hr]],-1,0) - TblProd[[#This Row],[Expenses Gems]]</f>
        <v>0</v>
      </c>
      <c r="N72" s="113">
        <f ca="1">OFFSET(TblProd[[#This Row],[Boats]],-1,0)+OFFSET(TblProd[[#This Row],[Boats/hr]],-1,0)</f>
        <v>45</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2250</v>
      </c>
      <c r="Q72" s="113">
        <v>10000</v>
      </c>
      <c r="R72" s="184"/>
      <c r="S72" s="113">
        <f ca="1">ROUNDDOWN(TblProd[[#This Row],[Raw Plat/hr]]*(1+TblProd[[#This Row],[Bonus Plat/hr]]),0)</f>
        <v>35895</v>
      </c>
      <c r="T72" s="113">
        <f ca="1">ROUND(TblProd[[#This Row],[Raw Food/hr]]*(1+TblProd[[#This Row],[Bonus Food/hr]])-TblProd[[#This Row],[Food decay]]-TblProd[[#This Row],[Food eaten]],0)</f>
        <v>-50</v>
      </c>
      <c r="U72" s="113">
        <f ca="1">ROUND(TblProd[[#This Row],[Raw Lumber/hr]]*(1+TblProd[[#This Row],[Bonus Lumber/hr]])-TblProd[[#This Row],[Lumber rot]],0)</f>
        <v>684</v>
      </c>
      <c r="V72" s="113">
        <f ca="1">ROUND(TblProd[[#This Row],[Raw Mana/hr]]*(1+TblProd[[#This Row],[Bonus Mana/hr]])-TblProd[[#This Row],[Mana drain]],0)</f>
        <v>233</v>
      </c>
      <c r="W72" s="113">
        <f ca="1">ROUNDDOWN(TblProd[[#This Row],[Raw Ore/hr]]*(1+TblProd[[#This Row],[Bonux Ore/hr]]),0)</f>
        <v>1800</v>
      </c>
      <c r="X72" s="113">
        <f ca="1">ROUNDDOWN(TblProd[[#This Row],[Raw Gems/hr]]*(1+TblProd[[#This Row],[Bonus Gems/hr]]),0)</f>
        <v>0</v>
      </c>
      <c r="Y72" s="201">
        <f ca="1">OFFSET(TblConstr[[#This Row],[Tot Doc]],1,0)*dock_boats_hr * (1 + tech_4_1*TblTech[[#This Row],[4-1]])</f>
        <v>1</v>
      </c>
      <c r="Z72" s="200"/>
      <c r="AA72" s="113">
        <f ca="1">TblPop[[#This Row],[Peasants]]*tax*TblPop[[#This Row],[Employment]] + (Construction!AZ73+Construction!BX73)*(alch_plat+(Magic!AL72&gt;0)*alchemist_flame_bonus)</f>
        <v>32632.2</v>
      </c>
      <c r="AB72" s="113">
        <f ca="1">TblConstr[[#This Row],[Tot Farm]]*farm_food + TblConstr[[#This Row],[Tot Doc]]*dock_food</f>
        <v>3100</v>
      </c>
      <c r="AC72" s="113">
        <f ca="1">TblConstr[[#This Row],[Tot Ly]]*ly_lumber + TblConstr[[#This Row],[Tot Hav]]*fh_lumber</f>
        <v>1000</v>
      </c>
      <c r="AD72" s="113">
        <f ca="1">OFFSET(TblConstr[[#This Row],[Tot Tow]],1,0)*(tower_mana + tech_4_5*TblTech[[#This Row],[4-5]])</f>
        <v>375</v>
      </c>
      <c r="AE72" s="113">
        <f ca="1">OFFSET(TblConstr[[#This Row],[Tot OM]],1,0)*om_ore+IF(race="Dwarf",ROUNDDOWN(TblMili[[#This Row],[Unit 2]]/2,0),)</f>
        <v>1800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0.1</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891.73</v>
      </c>
      <c r="AP72" s="113">
        <f ca="1">(1+race_food_consumption)*TblPop[[#This Row],[Total]]*food_per_person*(1+tech_1_10*TblTech[[#This Row],[1-10]]+tech_7_5*TblTech[[#This Row],[7-5]])</f>
        <v>2490.75</v>
      </c>
      <c r="AQ72" s="113">
        <f ca="1">TblProd[[#This Row],[Lumber]]*lumber_rot * (1 + tech_2_1*TblTech[[#This Row],[2-1]] + tech_2_8*TblTech[[#This Row],[2-8]] + tech_5_2*TblTech[[#This Row],[5-2]])</f>
        <v>316.44</v>
      </c>
      <c r="AR72" s="113">
        <f ca="1">TblProd[[#This Row],[Mana]]*mana_drain * (1 + tech_2_1*TblTech[[#This Row],[2-1]] + tech_2_8*TblTech[[#This Row],[2-8]])</f>
        <v>142.43</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44407.583333333168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185665</v>
      </c>
      <c r="BJ72" s="113">
        <f ca="1">TblProd[[#This Row],[Food]]</f>
        <v>89173</v>
      </c>
      <c r="BK72" s="113">
        <f ca="1">TblProd[[#This Row],[Lumber]]</f>
        <v>31644</v>
      </c>
      <c r="BL72" s="113">
        <f ca="1">TblProd[[#This Row],[Mana]]</f>
        <v>7121.5</v>
      </c>
      <c r="BM72" s="113">
        <f ca="1">TblProd[[#This Row],[Ore]]</f>
        <v>11990</v>
      </c>
    </row>
    <row r="73" spans="1:65" x14ac:dyDescent="0.2">
      <c r="A73" s="178">
        <v>70</v>
      </c>
      <c r="B73" s="198">
        <f ca="1">TblImps[[#This Row],[Time]]</f>
        <v>44407.624999999833</v>
      </c>
      <c r="C73" s="199"/>
      <c r="D73" s="200"/>
      <c r="E73" s="113">
        <f ca="1">TblConstr[[#This Row],[Land]]</f>
        <v>600</v>
      </c>
      <c r="F73" s="113">
        <f ca="1">TblPop[[#This Row],[Peasants]]</f>
        <v>7609</v>
      </c>
      <c r="G73" s="113">
        <f ca="1">TblMili[[#This Row],[Networth (2)]]</f>
        <v>15250</v>
      </c>
      <c r="H73" s="113">
        <f ca="1">OFFSET(TblProd[[#This Row],[Platinum]],-1,0)+OFFSET(TblProd[[#This Row],[Plat/hr]],-1,0) - TblProd[[#This Row],[Expenses Platinum]] + IF(TblProd[[#This Row],[Plat Bonus]],TblPop[[#This Row],[Peasants]]*4) + SUM(TblConstr[[#This Row],[Dest Hom]:[Dest Doc]])*TblConstr[[#This Row],[CPA Platinum -DB]]*tech_3_3_2*TblTech[[#This Row],[3-3]]</f>
        <v>221560</v>
      </c>
      <c r="I73" s="113">
        <f ca="1">OFFSET(TblProd[[#This Row],[Food]],-1,0)+OFFSET(TblProd[[#This Row],[Food/hr]],-1,0)+ROUNDUP((TblConstr[[#This Row],[Farms]]*80+TblConstr[[#This Row],[Docks]]*35)*(1+OFFSET(TblProd[[#This Row],[Bonus Food/hr]],-1,0)),0)</f>
        <v>89123</v>
      </c>
      <c r="J73" s="113">
        <f ca="1">OFFSET(TblProd[[#This Row],[Lumber]],-1,0)+OFFSET(TblProd[[#This Row],[Lumber/hr]],-1,0) - TblProd[[#This Row],[Expenses Lumber]] + SUM(TblConstr[[#This Row],[Dest Hom]:[Dest Doc]])*TblConstr[[#This Row],[CPA Lumber -DB]]*tech_3_3_2*TblTech[[#This Row],[3-3]]</f>
        <v>32328</v>
      </c>
      <c r="K73" s="113">
        <f ca="1">OFFSET(TblProd[[#This Row],[Mana]],-1,0)+OFFSET(TblProd[[#This Row],[Mana/hr]],-1,0)- TblProd[[#This Row],[Expenses Mana]]</f>
        <v>7354.5</v>
      </c>
      <c r="L73" s="113">
        <f ca="1">OFFSET(TblProd[[#This Row],[Ore]],-1,0)+OFFSET(TblProd[[#This Row],[Ore/hr]],-1,0) -TblProd[[#This Row],[Expenses Ore]]</f>
        <v>13790</v>
      </c>
      <c r="M73" s="113">
        <f ca="1">OFFSET(TblProd[[#This Row],[Gems]],-1,0)+OFFSET(TblProd[[#This Row],[Gems/hr]],-1,0) - TblProd[[#This Row],[Expenses Gems]]</f>
        <v>0</v>
      </c>
      <c r="N73" s="113">
        <f ca="1">OFFSET(TblProd[[#This Row],[Boats]],-1,0)+OFFSET(TblProd[[#This Row],[Boats/hr]],-1,0)</f>
        <v>46</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2250</v>
      </c>
      <c r="Q73" s="113">
        <v>10000</v>
      </c>
      <c r="R73" s="184"/>
      <c r="S73" s="113">
        <f ca="1">ROUNDDOWN(TblProd[[#This Row],[Raw Plat/hr]]*(1+TblProd[[#This Row],[Bonus Plat/hr]]),0)</f>
        <v>35666</v>
      </c>
      <c r="T73" s="113">
        <f ca="1">ROUND(TblProd[[#This Row],[Raw Food/hr]]*(1+TblProd[[#This Row],[Bonus Food/hr]])-TblProd[[#This Row],[Food decay]]-TblProd[[#This Row],[Food eaten]],0)</f>
        <v>-49</v>
      </c>
      <c r="U73" s="113">
        <f ca="1">ROUND(TblProd[[#This Row],[Raw Lumber/hr]]*(1+TblProd[[#This Row],[Bonus Lumber/hr]])-TblProd[[#This Row],[Lumber rot]],0)</f>
        <v>677</v>
      </c>
      <c r="V73" s="113">
        <f ca="1">ROUND(TblProd[[#This Row],[Raw Mana/hr]]*(1+TblProd[[#This Row],[Bonus Mana/hr]])-TblProd[[#This Row],[Mana drain]],0)</f>
        <v>228</v>
      </c>
      <c r="W73" s="113">
        <f ca="1">ROUNDDOWN(TblProd[[#This Row],[Raw Ore/hr]]*(1+TblProd[[#This Row],[Bonux Ore/hr]]),0)</f>
        <v>1800</v>
      </c>
      <c r="X73" s="113">
        <f ca="1">ROUNDDOWN(TblProd[[#This Row],[Raw Gems/hr]]*(1+TblProd[[#This Row],[Bonus Gems/hr]]),0)</f>
        <v>0</v>
      </c>
      <c r="Y73" s="201">
        <f ca="1">OFFSET(TblConstr[[#This Row],[Tot Doc]],1,0)*dock_boats_hr * (1 + tech_4_1*TblTech[[#This Row],[4-1]])</f>
        <v>1</v>
      </c>
      <c r="Z73" s="200"/>
      <c r="AA73" s="113">
        <f ca="1">TblPop[[#This Row],[Peasants]]*tax*TblPop[[#This Row],[Employment]] + (Construction!AZ74+Construction!BX74)*(alch_plat+(Magic!AL73&gt;0)*alchemist_flame_bonus)</f>
        <v>32424.300000000003</v>
      </c>
      <c r="AB73" s="113">
        <f ca="1">TblConstr[[#This Row],[Tot Farm]]*farm_food + TblConstr[[#This Row],[Tot Doc]]*dock_food</f>
        <v>3100</v>
      </c>
      <c r="AC73" s="113">
        <f ca="1">TblConstr[[#This Row],[Tot Ly]]*ly_lumber + TblConstr[[#This Row],[Tot Hav]]*fh_lumber</f>
        <v>1000</v>
      </c>
      <c r="AD73" s="113">
        <f ca="1">OFFSET(TblConstr[[#This Row],[Tot Tow]],1,0)*(tower_mana + tech_4_5*TblTech[[#This Row],[4-5]])</f>
        <v>375</v>
      </c>
      <c r="AE73" s="113">
        <f ca="1">OFFSET(TblConstr[[#This Row],[Tot OM]],1,0)*om_ore+IF(race="Dwarf",ROUNDDOWN(TblMili[[#This Row],[Unit 2]]/2,0),)</f>
        <v>1800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0.1</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891.23</v>
      </c>
      <c r="AP73" s="113">
        <f ca="1">(1+race_food_consumption)*TblPop[[#This Row],[Total]]*food_per_person*(1+tech_1_10*TblTech[[#This Row],[1-10]]+tech_7_5*TblTech[[#This Row],[7-5]])</f>
        <v>2490.75</v>
      </c>
      <c r="AQ73" s="113">
        <f ca="1">TblProd[[#This Row],[Lumber]]*lumber_rot * (1 + tech_2_1*TblTech[[#This Row],[2-1]] + tech_2_8*TblTech[[#This Row],[2-8]] + tech_5_2*TblTech[[#This Row],[5-2]])</f>
        <v>323.28000000000003</v>
      </c>
      <c r="AR73" s="113">
        <f ca="1">TblProd[[#This Row],[Mana]]*mana_drain * (1 + tech_2_1*TblTech[[#This Row],[2-1]] + tech_2_8*TblTech[[#This Row],[2-8]])</f>
        <v>147.09</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44407.624999999833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221560</v>
      </c>
      <c r="BJ73" s="113">
        <f ca="1">TblProd[[#This Row],[Food]]</f>
        <v>89123</v>
      </c>
      <c r="BK73" s="113">
        <f ca="1">TblProd[[#This Row],[Lumber]]</f>
        <v>32328</v>
      </c>
      <c r="BL73" s="113">
        <f ca="1">TblProd[[#This Row],[Mana]]</f>
        <v>7354.5</v>
      </c>
      <c r="BM73" s="113">
        <f ca="1">TblProd[[#This Row],[Ore]]</f>
        <v>13790</v>
      </c>
    </row>
    <row r="74" spans="1:65" x14ac:dyDescent="0.2">
      <c r="A74" s="178">
        <v>71</v>
      </c>
      <c r="B74" s="198">
        <f ca="1">TblImps[[#This Row],[Time]]</f>
        <v>44407.666666666497</v>
      </c>
      <c r="C74" s="199"/>
      <c r="D74" s="200"/>
      <c r="E74" s="113">
        <f ca="1">TblConstr[[#This Row],[Land]]</f>
        <v>600</v>
      </c>
      <c r="F74" s="113">
        <f ca="1">TblPop[[#This Row],[Peasants]]</f>
        <v>7533</v>
      </c>
      <c r="G74" s="113">
        <f ca="1">TblMili[[#This Row],[Networth (2)]]</f>
        <v>15250</v>
      </c>
      <c r="H74" s="113">
        <f ca="1">OFFSET(TblProd[[#This Row],[Platinum]],-1,0)+OFFSET(TblProd[[#This Row],[Plat/hr]],-1,0) - TblProd[[#This Row],[Expenses Platinum]] + IF(TblProd[[#This Row],[Plat Bonus]],TblPop[[#This Row],[Peasants]]*4) + SUM(TblConstr[[#This Row],[Dest Hom]:[Dest Doc]])*TblConstr[[#This Row],[CPA Platinum -DB]]*tech_3_3_2*TblTech[[#This Row],[3-3]]</f>
        <v>257226</v>
      </c>
      <c r="I74" s="113">
        <f ca="1">OFFSET(TblProd[[#This Row],[Food]],-1,0)+OFFSET(TblProd[[#This Row],[Food/hr]],-1,0)+ROUNDUP((TblConstr[[#This Row],[Farms]]*80+TblConstr[[#This Row],[Docks]]*35)*(1+OFFSET(TblProd[[#This Row],[Bonus Food/hr]],-1,0)),0)</f>
        <v>89074</v>
      </c>
      <c r="J74" s="113">
        <f ca="1">OFFSET(TblProd[[#This Row],[Lumber]],-1,0)+OFFSET(TblProd[[#This Row],[Lumber/hr]],-1,0) - TblProd[[#This Row],[Expenses Lumber]] + SUM(TblConstr[[#This Row],[Dest Hom]:[Dest Doc]])*TblConstr[[#This Row],[CPA Lumber -DB]]*tech_3_3_2*TblTech[[#This Row],[3-3]]</f>
        <v>33005</v>
      </c>
      <c r="K74" s="113">
        <f ca="1">OFFSET(TblProd[[#This Row],[Mana]],-1,0)+OFFSET(TblProd[[#This Row],[Mana/hr]],-1,0)- TblProd[[#This Row],[Expenses Mana]]</f>
        <v>7582.5</v>
      </c>
      <c r="L74" s="113">
        <f ca="1">OFFSET(TblProd[[#This Row],[Ore]],-1,0)+OFFSET(TblProd[[#This Row],[Ore/hr]],-1,0) -TblProd[[#This Row],[Expenses Ore]]</f>
        <v>15590</v>
      </c>
      <c r="M74" s="113">
        <f ca="1">OFFSET(TblProd[[#This Row],[Gems]],-1,0)+OFFSET(TblProd[[#This Row],[Gems/hr]],-1,0) - TblProd[[#This Row],[Expenses Gems]]</f>
        <v>0</v>
      </c>
      <c r="N74" s="113">
        <f ca="1">OFFSET(TblProd[[#This Row],[Boats]],-1,0)+OFFSET(TblProd[[#This Row],[Boats/hr]],-1,0)</f>
        <v>47</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2250</v>
      </c>
      <c r="Q74" s="113">
        <v>10000</v>
      </c>
      <c r="R74" s="184"/>
      <c r="S74" s="113">
        <f ca="1">ROUNDDOWN(TblProd[[#This Row],[Raw Plat/hr]]*(1+TblProd[[#This Row],[Bonus Plat/hr]]),0)</f>
        <v>35441</v>
      </c>
      <c r="T74" s="113">
        <f ca="1">ROUND(TblProd[[#This Row],[Raw Food/hr]]*(1+TblProd[[#This Row],[Bonus Food/hr]])-TblProd[[#This Row],[Food decay]]-TblProd[[#This Row],[Food eaten]],0)</f>
        <v>-49</v>
      </c>
      <c r="U74" s="113">
        <f ca="1">ROUND(TblProd[[#This Row],[Raw Lumber/hr]]*(1+TblProd[[#This Row],[Bonus Lumber/hr]])-TblProd[[#This Row],[Lumber rot]],0)</f>
        <v>670</v>
      </c>
      <c r="V74" s="113">
        <f ca="1">ROUND(TblProd[[#This Row],[Raw Mana/hr]]*(1+TblProd[[#This Row],[Bonus Mana/hr]])-TblProd[[#This Row],[Mana drain]],0)</f>
        <v>223</v>
      </c>
      <c r="W74" s="113">
        <f ca="1">ROUNDDOWN(TblProd[[#This Row],[Raw Ore/hr]]*(1+TblProd[[#This Row],[Bonux Ore/hr]]),0)</f>
        <v>1800</v>
      </c>
      <c r="X74" s="113">
        <f ca="1">ROUNDDOWN(TblProd[[#This Row],[Raw Gems/hr]]*(1+TblProd[[#This Row],[Bonus Gems/hr]]),0)</f>
        <v>0</v>
      </c>
      <c r="Y74" s="201">
        <f ca="1">OFFSET(TblConstr[[#This Row],[Tot Doc]],1,0)*dock_boats_hr * (1 + tech_4_1*TblTech[[#This Row],[4-1]])</f>
        <v>1</v>
      </c>
      <c r="Z74" s="200"/>
      <c r="AA74" s="113">
        <f ca="1">TblPop[[#This Row],[Peasants]]*tax*TblPop[[#This Row],[Employment]] + (Construction!AZ75+Construction!BX75)*(alch_plat+(Magic!AL74&gt;0)*alchemist_flame_bonus)</f>
        <v>32219.100000000002</v>
      </c>
      <c r="AB74" s="113">
        <f ca="1">TblConstr[[#This Row],[Tot Farm]]*farm_food + TblConstr[[#This Row],[Tot Doc]]*dock_food</f>
        <v>3100</v>
      </c>
      <c r="AC74" s="113">
        <f ca="1">TblConstr[[#This Row],[Tot Ly]]*ly_lumber + TblConstr[[#This Row],[Tot Hav]]*fh_lumber</f>
        <v>1000</v>
      </c>
      <c r="AD74" s="113">
        <f ca="1">OFFSET(TblConstr[[#This Row],[Tot Tow]],1,0)*(tower_mana + tech_4_5*TblTech[[#This Row],[4-5]])</f>
        <v>375</v>
      </c>
      <c r="AE74" s="113">
        <f ca="1">OFFSET(TblConstr[[#This Row],[Tot OM]],1,0)*om_ore+IF(race="Dwarf",ROUNDDOWN(TblMili[[#This Row],[Unit 2]]/2,0),)</f>
        <v>1800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0.1</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890.74</v>
      </c>
      <c r="AP74" s="113">
        <f ca="1">(1+race_food_consumption)*TblPop[[#This Row],[Total]]*food_per_person*(1+tech_1_10*TblTech[[#This Row],[1-10]]+tech_7_5*TblTech[[#This Row],[7-5]])</f>
        <v>2490.75</v>
      </c>
      <c r="AQ74" s="113">
        <f ca="1">TblProd[[#This Row],[Lumber]]*lumber_rot * (1 + tech_2_1*TblTech[[#This Row],[2-1]] + tech_2_8*TblTech[[#This Row],[2-8]] + tech_5_2*TblTech[[#This Row],[5-2]])</f>
        <v>330.05</v>
      </c>
      <c r="AR74" s="113">
        <f ca="1">TblProd[[#This Row],[Mana]]*mana_drain * (1 + tech_2_1*TblTech[[#This Row],[2-1]] + tech_2_8*TblTech[[#This Row],[2-8]])</f>
        <v>151.65</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44407.666666666497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257226</v>
      </c>
      <c r="BJ74" s="113">
        <f ca="1">TblProd[[#This Row],[Food]]</f>
        <v>89074</v>
      </c>
      <c r="BK74" s="113">
        <f ca="1">TblProd[[#This Row],[Lumber]]</f>
        <v>33005</v>
      </c>
      <c r="BL74" s="113">
        <f ca="1">TblProd[[#This Row],[Mana]]</f>
        <v>7582.5</v>
      </c>
      <c r="BM74" s="113">
        <f ca="1">TblProd[[#This Row],[Ore]]</f>
        <v>15590</v>
      </c>
    </row>
    <row r="75" spans="1:65" x14ac:dyDescent="0.2">
      <c r="A75" s="178">
        <v>72</v>
      </c>
      <c r="B75" s="198">
        <f ca="1">TblImps[[#This Row],[Time]]</f>
        <v>44407.708333333161</v>
      </c>
      <c r="C75" s="199"/>
      <c r="D75" s="200"/>
      <c r="E75" s="113">
        <f ca="1">TblConstr[[#This Row],[Land]]</f>
        <v>600</v>
      </c>
      <c r="F75" s="113">
        <f ca="1">TblPop[[#This Row],[Peasants]]</f>
        <v>7458</v>
      </c>
      <c r="G75" s="113">
        <f ca="1">TblMili[[#This Row],[Networth (2)]]</f>
        <v>15250</v>
      </c>
      <c r="H75" s="113">
        <f ca="1">OFFSET(TblProd[[#This Row],[Platinum]],-1,0)+OFFSET(TblProd[[#This Row],[Plat/hr]],-1,0) - TblProd[[#This Row],[Expenses Platinum]] + IF(TblProd[[#This Row],[Plat Bonus]],TblPop[[#This Row],[Peasants]]*4) + SUM(TblConstr[[#This Row],[Dest Hom]:[Dest Doc]])*TblConstr[[#This Row],[CPA Platinum -DB]]*tech_3_3_2*TblTech[[#This Row],[3-3]]</f>
        <v>292667</v>
      </c>
      <c r="I75" s="113">
        <f ca="1">OFFSET(TblProd[[#This Row],[Food]],-1,0)+OFFSET(TblProd[[#This Row],[Food/hr]],-1,0)+ROUNDUP((TblConstr[[#This Row],[Farms]]*80+TblConstr[[#This Row],[Docks]]*35)*(1+OFFSET(TblProd[[#This Row],[Bonus Food/hr]],-1,0)),0)</f>
        <v>89025</v>
      </c>
      <c r="J75" s="113">
        <f ca="1">OFFSET(TblProd[[#This Row],[Lumber]],-1,0)+OFFSET(TblProd[[#This Row],[Lumber/hr]],-1,0) - TblProd[[#This Row],[Expenses Lumber]] + SUM(TblConstr[[#This Row],[Dest Hom]:[Dest Doc]])*TblConstr[[#This Row],[CPA Lumber -DB]]*tech_3_3_2*TblTech[[#This Row],[3-3]]</f>
        <v>33675</v>
      </c>
      <c r="K75" s="113">
        <f ca="1">OFFSET(TblProd[[#This Row],[Mana]],-1,0)+OFFSET(TblProd[[#This Row],[Mana/hr]],-1,0)- TblProd[[#This Row],[Expenses Mana]]</f>
        <v>7805.5</v>
      </c>
      <c r="L75" s="113">
        <f ca="1">OFFSET(TblProd[[#This Row],[Ore]],-1,0)+OFFSET(TblProd[[#This Row],[Ore/hr]],-1,0) -TblProd[[#This Row],[Expenses Ore]]</f>
        <v>17390</v>
      </c>
      <c r="M75" s="113">
        <f ca="1">OFFSET(TblProd[[#This Row],[Gems]],-1,0)+OFFSET(TblProd[[#This Row],[Gems/hr]],-1,0) - TblProd[[#This Row],[Expenses Gems]]</f>
        <v>0</v>
      </c>
      <c r="N75" s="113">
        <f ca="1">OFFSET(TblProd[[#This Row],[Boats]],-1,0)+OFFSET(TblProd[[#This Row],[Boats/hr]],-1,0)</f>
        <v>48</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2250</v>
      </c>
      <c r="Q75" s="113">
        <v>10000</v>
      </c>
      <c r="R75" s="184"/>
      <c r="S75" s="113">
        <f ca="1">ROUNDDOWN(TblProd[[#This Row],[Raw Plat/hr]]*(1+TblProd[[#This Row],[Bonus Plat/hr]]),0)</f>
        <v>35218</v>
      </c>
      <c r="T75" s="113">
        <f ca="1">ROUND(TblProd[[#This Row],[Raw Food/hr]]*(1+TblProd[[#This Row],[Bonus Food/hr]])-TblProd[[#This Row],[Food decay]]-TblProd[[#This Row],[Food eaten]],0)</f>
        <v>-49</v>
      </c>
      <c r="U75" s="113">
        <f ca="1">ROUND(TblProd[[#This Row],[Raw Lumber/hr]]*(1+TblProd[[#This Row],[Bonus Lumber/hr]])-TblProd[[#This Row],[Lumber rot]],0)</f>
        <v>663</v>
      </c>
      <c r="V75" s="113">
        <f ca="1">ROUND(TblProd[[#This Row],[Raw Mana/hr]]*(1+TblProd[[#This Row],[Bonus Mana/hr]])-TblProd[[#This Row],[Mana drain]],0)</f>
        <v>219</v>
      </c>
      <c r="W75" s="113">
        <f ca="1">ROUNDDOWN(TblProd[[#This Row],[Raw Ore/hr]]*(1+TblProd[[#This Row],[Bonux Ore/hr]]),0)</f>
        <v>1800</v>
      </c>
      <c r="X75" s="113">
        <f ca="1">ROUNDDOWN(TblProd[[#This Row],[Raw Gems/hr]]*(1+TblProd[[#This Row],[Bonus Gems/hr]]),0)</f>
        <v>0</v>
      </c>
      <c r="Y75" s="201">
        <f ca="1">OFFSET(TblConstr[[#This Row],[Tot Doc]],1,0)*dock_boats_hr * (1 + tech_4_1*TblTech[[#This Row],[4-1]])</f>
        <v>1</v>
      </c>
      <c r="Z75" s="200"/>
      <c r="AA75" s="113">
        <f ca="1">TblPop[[#This Row],[Peasants]]*tax*TblPop[[#This Row],[Employment]] + (Construction!AZ76+Construction!BX76)*(alch_plat+(Magic!AL75&gt;0)*alchemist_flame_bonus)</f>
        <v>32016.600000000002</v>
      </c>
      <c r="AB75" s="113">
        <f ca="1">TblConstr[[#This Row],[Tot Farm]]*farm_food + TblConstr[[#This Row],[Tot Doc]]*dock_food</f>
        <v>3100</v>
      </c>
      <c r="AC75" s="113">
        <f ca="1">TblConstr[[#This Row],[Tot Ly]]*ly_lumber + TblConstr[[#This Row],[Tot Hav]]*fh_lumber</f>
        <v>1000</v>
      </c>
      <c r="AD75" s="113">
        <f ca="1">OFFSET(TblConstr[[#This Row],[Tot Tow]],1,0)*(tower_mana + tech_4_5*TblTech[[#This Row],[4-5]])</f>
        <v>375</v>
      </c>
      <c r="AE75" s="113">
        <f ca="1">OFFSET(TblConstr[[#This Row],[Tot OM]],1,0)*om_ore+IF(race="Dwarf",ROUNDDOWN(TblMili[[#This Row],[Unit 2]]/2,0),)</f>
        <v>1800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0.1</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890.25</v>
      </c>
      <c r="AP75" s="113">
        <f ca="1">(1+race_food_consumption)*TblPop[[#This Row],[Total]]*food_per_person*(1+tech_1_10*TblTech[[#This Row],[1-10]]+tech_7_5*TblTech[[#This Row],[7-5]])</f>
        <v>2490.75</v>
      </c>
      <c r="AQ75" s="113">
        <f ca="1">TblProd[[#This Row],[Lumber]]*lumber_rot * (1 + tech_2_1*TblTech[[#This Row],[2-1]] + tech_2_8*TblTech[[#This Row],[2-8]] + tech_5_2*TblTech[[#This Row],[5-2]])</f>
        <v>336.75</v>
      </c>
      <c r="AR75" s="113">
        <f ca="1">TblProd[[#This Row],[Mana]]*mana_drain * (1 + tech_2_1*TblTech[[#This Row],[2-1]] + tech_2_8*TblTech[[#This Row],[2-8]])</f>
        <v>156.11000000000001</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44407.708333333161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292667</v>
      </c>
      <c r="BJ75" s="113">
        <f ca="1">TblProd[[#This Row],[Food]]</f>
        <v>89025</v>
      </c>
      <c r="BK75" s="113">
        <f ca="1">TblProd[[#This Row],[Lumber]]</f>
        <v>33675</v>
      </c>
      <c r="BL75" s="113">
        <f ca="1">TblProd[[#This Row],[Mana]]</f>
        <v>7805.5</v>
      </c>
      <c r="BM75" s="113">
        <f ca="1">TblProd[[#This Row],[Ore]]</f>
        <v>17390</v>
      </c>
    </row>
    <row r="76" spans="1:65" s="90" customFormat="1" x14ac:dyDescent="0.2">
      <c r="A76" s="186" t="s">
        <v>241</v>
      </c>
      <c r="B76" s="210">
        <f ca="1">TblImps[[#This Row],[Time]]</f>
        <v>44407.749999999825</v>
      </c>
      <c r="C76" s="211"/>
      <c r="D76" s="212"/>
      <c r="E76" s="188">
        <f ca="1">TblConstr[[#This Row],[Land]]</f>
        <v>600</v>
      </c>
      <c r="F76" s="188">
        <f ca="1">TblPop[[#This Row],[Peasants]]</f>
        <v>7383</v>
      </c>
      <c r="G76" s="188">
        <f ca="1">TblMili[[#This Row],[Networth (2)]]</f>
        <v>29507.5</v>
      </c>
      <c r="H76" s="188">
        <f ca="1">OFFSET(TblProd[[#This Row],[Platinum]],-1,0)+OFFSET(TblProd[[#This Row],[Plat/hr]],-1,0) - TblProd[[#This Row],[Expenses Platinum]] + IF(TblProd[[#This Row],[Plat Bonus]],TblPop[[#This Row],[Peasants]]*4) + SUM(TblConstr[[#This Row],[Dest Hom]:[Dest Doc]])*TblConstr[[#This Row],[CPA Platinum -DB]]*tech_3_3_2*TblTech[[#This Row],[3-3]]</f>
        <v>327885</v>
      </c>
      <c r="I76" s="188">
        <f ca="1">OFFSET(TblProd[[#This Row],[Food]],-1,0)+OFFSET(TblProd[[#This Row],[Food/hr]],-1,0)+ROUNDUP((TblConstr[[#This Row],[Farms]]*80+TblConstr[[#This Row],[Docks]]*35)*(1+OFFSET(TblProd[[#This Row],[Bonus Food/hr]],-1,0)),0)</f>
        <v>88976</v>
      </c>
      <c r="J76" s="188">
        <f ca="1">OFFSET(TblProd[[#This Row],[Lumber]],-1,0)+OFFSET(TblProd[[#This Row],[Lumber/hr]],-1,0) - TblProd[[#This Row],[Expenses Lumber]] + SUM(TblConstr[[#This Row],[Dest Hom]:[Dest Doc]])*TblConstr[[#This Row],[CPA Lumber -DB]]*tech_3_3_2*TblTech[[#This Row],[3-3]]</f>
        <v>34338</v>
      </c>
      <c r="K76" s="188">
        <f ca="1">OFFSET(TblProd[[#This Row],[Mana]],-1,0)+OFFSET(TblProd[[#This Row],[Mana/hr]],-1,0)- TblProd[[#This Row],[Expenses Mana]]</f>
        <v>3524.5</v>
      </c>
      <c r="L76" s="188">
        <f ca="1">OFFSET(TblProd[[#This Row],[Ore]],-1,0)+OFFSET(TblProd[[#This Row],[Ore/hr]],-1,0) -TblProd[[#This Row],[Expenses Ore]]</f>
        <v>19190</v>
      </c>
      <c r="M76" s="188">
        <f ca="1">OFFSET(TblProd[[#This Row],[Gems]],-1,0)+OFFSET(TblProd[[#This Row],[Gems/hr]],-1,0) - TblProd[[#This Row],[Expenses Gems]]</f>
        <v>0</v>
      </c>
      <c r="N76" s="188">
        <f ca="1">OFFSET(TblProd[[#This Row],[Boats]],-1,0)+OFFSET(TblProd[[#This Row],[Boats/hr]],-1,0)</f>
        <v>49</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2250</v>
      </c>
      <c r="Q76" s="188">
        <v>10000</v>
      </c>
      <c r="S76" s="188">
        <f ca="1">ROUNDDOWN(TblProd[[#This Row],[Raw Plat/hr]]*(1+TblProd[[#This Row],[Bonus Plat/hr]]),0)</f>
        <v>34995</v>
      </c>
      <c r="T76" s="188">
        <f ca="1">ROUND(TblProd[[#This Row],[Raw Food/hr]]*(1+TblProd[[#This Row],[Bonus Food/hr]])-TblProd[[#This Row],[Food decay]]-TblProd[[#This Row],[Food eaten]],0)</f>
        <v>-48</v>
      </c>
      <c r="U76" s="188">
        <f ca="1">ROUND(TblProd[[#This Row],[Raw Lumber/hr]]*(1+TblProd[[#This Row],[Bonus Lumber/hr]])-TblProd[[#This Row],[Lumber rot]],0)</f>
        <v>657</v>
      </c>
      <c r="V76" s="188">
        <f ca="1">ROUND(TblProd[[#This Row],[Raw Mana/hr]]*(1+TblProd[[#This Row],[Bonus Mana/hr]])-TblProd[[#This Row],[Mana drain]],0)</f>
        <v>305</v>
      </c>
      <c r="W76" s="188">
        <f ca="1">ROUNDDOWN(TblProd[[#This Row],[Raw Ore/hr]]*(1+TblProd[[#This Row],[Bonux Ore/hr]]),0)</f>
        <v>1800</v>
      </c>
      <c r="X76" s="188">
        <f ca="1">ROUNDDOWN(TblProd[[#This Row],[Raw Gems/hr]]*(1+TblProd[[#This Row],[Bonus Gems/hr]]),0)</f>
        <v>0</v>
      </c>
      <c r="Y76" s="213">
        <f ca="1">OFFSET(TblConstr[[#This Row],[Tot Doc]],1,0)*dock_boats_hr * (1 + tech_4_1*TblTech[[#This Row],[4-1]])</f>
        <v>1</v>
      </c>
      <c r="Z76" s="188"/>
      <c r="AA76" s="188">
        <f ca="1">TblPop[[#This Row],[Peasants]]*tax*TblPop[[#This Row],[Employment]] + (Construction!AZ77+Construction!BX77)*(alch_plat+(Magic!AL76&gt;0)*alchemist_flame_bonus)</f>
        <v>31814.100000000002</v>
      </c>
      <c r="AB76" s="188">
        <f ca="1">TblConstr[[#This Row],[Tot Farm]]*farm_food + TblConstr[[#This Row],[Tot Doc]]*dock_food</f>
        <v>3100</v>
      </c>
      <c r="AC76" s="188">
        <f ca="1">TblConstr[[#This Row],[Tot Ly]]*ly_lumber + TblConstr[[#This Row],[Tot Hav]]*fh_lumber</f>
        <v>1000</v>
      </c>
      <c r="AD76" s="188">
        <f ca="1">OFFSET(TblConstr[[#This Row],[Tot Tow]],1,0)*(tower_mana + tech_4_5*TblTech[[#This Row],[4-5]])</f>
        <v>375</v>
      </c>
      <c r="AE76" s="188">
        <f ca="1">OFFSET(TblConstr[[#This Row],[Tot OM]],1,0)*om_ore+IF(race="Dwarf",ROUNDDOWN(TblMili[[#This Row],[Unit 2]]/2,0),)</f>
        <v>1800</v>
      </c>
      <c r="AF76" s="188">
        <f ca="1">OFFSET(TblConstr[[#This Row],[Tot DM]],1,0)*dm_gems</f>
        <v>0</v>
      </c>
      <c r="AH76" s="214">
        <f ca="1">MIN(race_platinum_bonus + IF(Magic!AC76&gt;0,midas_bonus) + TblImps[[#This Row],[Science]] - TblProd[[#This Row],[Guard]]*(0.02 + tech_5_7*TblTech[[#This Row],[5-7]]) + tech_1_5*TblTech[[#This Row],[1-5]] + tech_4_4*TblTech[[#This Row],[4-4]], 0.5)</f>
        <v>0.1</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889.76</v>
      </c>
      <c r="AP76" s="188">
        <f ca="1">(1+race_food_consumption)*TblPop[[#This Row],[Total]]*food_per_person*(1+tech_1_10*TblTech[[#This Row],[1-10]]+tech_7_5*TblTech[[#This Row],[7-5]])</f>
        <v>2490.75</v>
      </c>
      <c r="AQ76" s="188">
        <f ca="1">TblProd[[#This Row],[Lumber]]*lumber_rot * (1 + tech_2_1*TblTech[[#This Row],[2-1]] + tech_2_8*TblTech[[#This Row],[2-8]] + tech_5_2*TblTech[[#This Row],[5-2]])</f>
        <v>343.38</v>
      </c>
      <c r="AR76" s="188">
        <f ca="1">TblProd[[#This Row],[Mana]]*mana_drain * (1 + tech_2_1*TblTech[[#This Row],[2-1]] + tech_2_8*TblTech[[#This Row],[2-8]])</f>
        <v>70.489999999999995</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4500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44407.749999999825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327885</v>
      </c>
      <c r="BJ76" s="188">
        <f ca="1">TblProd[[#This Row],[Food]]</f>
        <v>88976</v>
      </c>
      <c r="BK76" s="188">
        <f ca="1">TblProd[[#This Row],[Lumber]]</f>
        <v>34338</v>
      </c>
      <c r="BL76" s="188">
        <f ca="1">TblProd[[#This Row],[Mana]]</f>
        <v>3524.5</v>
      </c>
      <c r="BM76" s="188">
        <f ca="1">TblProd[[#This Row],[Ore]]</f>
        <v>19190</v>
      </c>
    </row>
    <row r="77" spans="1:65" x14ac:dyDescent="0.2">
      <c r="A77" s="178">
        <v>2</v>
      </c>
      <c r="B77" s="198">
        <f ca="1">TblImps[[#This Row],[Time]]</f>
        <v>44407.79166666649</v>
      </c>
      <c r="C77" s="199"/>
      <c r="D77" s="200"/>
      <c r="E77" s="113">
        <f ca="1">TblConstr[[#This Row],[Land]]</f>
        <v>600</v>
      </c>
      <c r="F77" s="113">
        <f ca="1">TblPop[[#This Row],[Peasants]]</f>
        <v>7309</v>
      </c>
      <c r="G77" s="113">
        <f ca="1">TblMili[[#This Row],[Networth (2)]]</f>
        <v>29507.5</v>
      </c>
      <c r="H77" s="113">
        <f ca="1">OFFSET(TblProd[[#This Row],[Platinum]],-1,0)+OFFSET(TblProd[[#This Row],[Plat/hr]],-1,0) - TblProd[[#This Row],[Expenses Platinum]] + IF(TblProd[[#This Row],[Plat Bonus]],TblPop[[#This Row],[Peasants]]*4) + SUM(TblConstr[[#This Row],[Dest Hom]:[Dest Doc]])*TblConstr[[#This Row],[CPA Platinum -DB]]*tech_3_3_2*TblTech[[#This Row],[3-3]]</f>
        <v>362880</v>
      </c>
      <c r="I77" s="113">
        <f ca="1">OFFSET(TblProd[[#This Row],[Food]],-1,0)+OFFSET(TblProd[[#This Row],[Food/hr]],-1,0)+ROUNDUP((TblConstr[[#This Row],[Farms]]*80+TblConstr[[#This Row],[Docks]]*35)*(1+OFFSET(TblProd[[#This Row],[Bonus Food/hr]],-1,0)),0)</f>
        <v>88928</v>
      </c>
      <c r="J77" s="113">
        <f ca="1">OFFSET(TblProd[[#This Row],[Lumber]],-1,0)+OFFSET(TblProd[[#This Row],[Lumber/hr]],-1,0) - TblProd[[#This Row],[Expenses Lumber]] + SUM(TblConstr[[#This Row],[Dest Hom]:[Dest Doc]])*TblConstr[[#This Row],[CPA Lumber -DB]]*tech_3_3_2*TblTech[[#This Row],[3-3]]</f>
        <v>34995</v>
      </c>
      <c r="K77" s="113">
        <f ca="1">OFFSET(TblProd[[#This Row],[Mana]],-1,0)+OFFSET(TblProd[[#This Row],[Mana/hr]],-1,0)- TblProd[[#This Row],[Expenses Mana]]</f>
        <v>3829.5</v>
      </c>
      <c r="L77" s="113">
        <f ca="1">OFFSET(TblProd[[#This Row],[Ore]],-1,0)+OFFSET(TblProd[[#This Row],[Ore/hr]],-1,0) -TblProd[[#This Row],[Expenses Ore]]</f>
        <v>20990</v>
      </c>
      <c r="M77" s="113">
        <f ca="1">OFFSET(TblProd[[#This Row],[Gems]],-1,0)+OFFSET(TblProd[[#This Row],[Gems/hr]],-1,0) - TblProd[[#This Row],[Expenses Gems]]</f>
        <v>0</v>
      </c>
      <c r="N77" s="113">
        <f ca="1">OFFSET(TblProd[[#This Row],[Boats]],-1,0)+OFFSET(TblProd[[#This Row],[Boats/hr]],-1,0)</f>
        <v>50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2250</v>
      </c>
      <c r="Q77" s="113">
        <v>10000</v>
      </c>
      <c r="R77" s="184"/>
      <c r="S77" s="113">
        <f ca="1">ROUNDDOWN(TblProd[[#This Row],[Raw Plat/hr]]*(1+TblProd[[#This Row],[Bonus Plat/hr]]),0)</f>
        <v>34775</v>
      </c>
      <c r="T77" s="113">
        <f ca="1">ROUND(TblProd[[#This Row],[Raw Food/hr]]*(1+TblProd[[#This Row],[Bonus Food/hr]])-TblProd[[#This Row],[Food decay]]-TblProd[[#This Row],[Food eaten]],0)</f>
        <v>-48</v>
      </c>
      <c r="U77" s="113">
        <f ca="1">ROUND(TblProd[[#This Row],[Raw Lumber/hr]]*(1+TblProd[[#This Row],[Bonus Lumber/hr]])-TblProd[[#This Row],[Lumber rot]],0)</f>
        <v>650</v>
      </c>
      <c r="V77" s="113">
        <f ca="1">ROUND(TblProd[[#This Row],[Raw Mana/hr]]*(1+TblProd[[#This Row],[Bonus Mana/hr]])-TblProd[[#This Row],[Mana drain]],0)</f>
        <v>298</v>
      </c>
      <c r="W77" s="113">
        <f ca="1">ROUNDDOWN(TblProd[[#This Row],[Raw Ore/hr]]*(1+TblProd[[#This Row],[Bonux Ore/hr]]),0)</f>
        <v>1800</v>
      </c>
      <c r="X77" s="113">
        <f ca="1">ROUNDDOWN(TblProd[[#This Row],[Raw Gems/hr]]*(1+TblProd[[#This Row],[Bonus Gems/hr]]),0)</f>
        <v>0</v>
      </c>
      <c r="Y77" s="201">
        <f ca="1">OFFSET(TblConstr[[#This Row],[Tot Doc]],1,0)*dock_boats_hr * (1 + tech_4_1*TblTech[[#This Row],[4-1]])</f>
        <v>1</v>
      </c>
      <c r="Z77" s="200"/>
      <c r="AA77" s="113">
        <f ca="1">TblPop[[#This Row],[Peasants]]*tax*TblPop[[#This Row],[Employment]] + (Construction!AZ78+Construction!BX78)*(alch_plat+(Magic!AL77&gt;0)*alchemist_flame_bonus)</f>
        <v>31614.300000000003</v>
      </c>
      <c r="AB77" s="113">
        <f ca="1">TblConstr[[#This Row],[Tot Farm]]*farm_food + TblConstr[[#This Row],[Tot Doc]]*dock_food</f>
        <v>3100</v>
      </c>
      <c r="AC77" s="113">
        <f ca="1">TblConstr[[#This Row],[Tot Ly]]*ly_lumber + TblConstr[[#This Row],[Tot Hav]]*fh_lumber</f>
        <v>1000</v>
      </c>
      <c r="AD77" s="113">
        <f ca="1">OFFSET(TblConstr[[#This Row],[Tot Tow]],1,0)*(tower_mana + tech_4_5*TblTech[[#This Row],[4-5]])</f>
        <v>375</v>
      </c>
      <c r="AE77" s="113">
        <f ca="1">OFFSET(TblConstr[[#This Row],[Tot OM]],1,0)*om_ore+IF(race="Dwarf",ROUNDDOWN(TblMili[[#This Row],[Unit 2]]/2,0),)</f>
        <v>1800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0.1</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889.28</v>
      </c>
      <c r="AP77" s="113">
        <f ca="1">(1+race_food_consumption)*TblPop[[#This Row],[Total]]*food_per_person*(1+tech_1_10*TblTech[[#This Row],[1-10]]+tech_7_5*TblTech[[#This Row],[7-5]])</f>
        <v>2490.75</v>
      </c>
      <c r="AQ77" s="113">
        <f ca="1">TblProd[[#This Row],[Lumber]]*lumber_rot * (1 + tech_2_1*TblTech[[#This Row],[2-1]] + tech_2_8*TblTech[[#This Row],[2-8]] + tech_5_2*TblTech[[#This Row],[5-2]])</f>
        <v>349.95</v>
      </c>
      <c r="AR77" s="113">
        <f ca="1">TblProd[[#This Row],[Mana]]*mana_drain * (1 + tech_2_1*TblTech[[#This Row],[2-1]] + tech_2_8*TblTech[[#This Row],[2-8]])</f>
        <v>76.59</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44407.79166666649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362880</v>
      </c>
      <c r="BJ77" s="113">
        <f ca="1">TblProd[[#This Row],[Food]]</f>
        <v>88928</v>
      </c>
      <c r="BK77" s="113">
        <f ca="1">TblProd[[#This Row],[Lumber]]</f>
        <v>34995</v>
      </c>
      <c r="BL77" s="113">
        <f ca="1">TblProd[[#This Row],[Mana]]</f>
        <v>3829.5</v>
      </c>
      <c r="BM77" s="113">
        <f ca="1">TblProd[[#This Row],[Ore]]</f>
        <v>20990</v>
      </c>
    </row>
    <row r="78" spans="1:65" x14ac:dyDescent="0.2">
      <c r="A78" s="178">
        <v>3</v>
      </c>
      <c r="B78" s="198">
        <f ca="1">TblImps[[#This Row],[Time]]</f>
        <v>44407.833333333154</v>
      </c>
      <c r="C78" s="199"/>
      <c r="D78" s="200"/>
      <c r="E78" s="113">
        <f ca="1">TblConstr[[#This Row],[Land]]</f>
        <v>600</v>
      </c>
      <c r="F78" s="113">
        <f ca="1">TblPop[[#This Row],[Peasants]]</f>
        <v>7236</v>
      </c>
      <c r="G78" s="113">
        <f ca="1">TblMili[[#This Row],[Networth (2)]]</f>
        <v>29507.5</v>
      </c>
      <c r="H78" s="113">
        <f ca="1">OFFSET(TblProd[[#This Row],[Platinum]],-1,0)+OFFSET(TblProd[[#This Row],[Plat/hr]],-1,0) - TblProd[[#This Row],[Expenses Platinum]] + IF(TblProd[[#This Row],[Plat Bonus]],TblPop[[#This Row],[Peasants]]*4) + SUM(TblConstr[[#This Row],[Dest Hom]:[Dest Doc]])*TblConstr[[#This Row],[CPA Platinum -DB]]*tech_3_3_2*TblTech[[#This Row],[3-3]]</f>
        <v>397655</v>
      </c>
      <c r="I78" s="113">
        <f ca="1">OFFSET(TblProd[[#This Row],[Food]],-1,0)+OFFSET(TblProd[[#This Row],[Food/hr]],-1,0)+ROUNDUP((TblConstr[[#This Row],[Farms]]*80+TblConstr[[#This Row],[Docks]]*35)*(1+OFFSET(TblProd[[#This Row],[Bonus Food/hr]],-1,0)),0)</f>
        <v>88880</v>
      </c>
      <c r="J78" s="113">
        <f ca="1">OFFSET(TblProd[[#This Row],[Lumber]],-1,0)+OFFSET(TblProd[[#This Row],[Lumber/hr]],-1,0) - TblProd[[#This Row],[Expenses Lumber]] + SUM(TblConstr[[#This Row],[Dest Hom]:[Dest Doc]])*TblConstr[[#This Row],[CPA Lumber -DB]]*tech_3_3_2*TblTech[[#This Row],[3-3]]</f>
        <v>35645</v>
      </c>
      <c r="K78" s="113">
        <f ca="1">OFFSET(TblProd[[#This Row],[Mana]],-1,0)+OFFSET(TblProd[[#This Row],[Mana/hr]],-1,0)- TblProd[[#This Row],[Expenses Mana]]</f>
        <v>4127.5</v>
      </c>
      <c r="L78" s="113">
        <f ca="1">OFFSET(TblProd[[#This Row],[Ore]],-1,0)+OFFSET(TblProd[[#This Row],[Ore/hr]],-1,0) -TblProd[[#This Row],[Expenses Ore]]</f>
        <v>22790</v>
      </c>
      <c r="M78" s="113">
        <f ca="1">OFFSET(TblProd[[#This Row],[Gems]],-1,0)+OFFSET(TblProd[[#This Row],[Gems/hr]],-1,0) - TblProd[[#This Row],[Expenses Gems]]</f>
        <v>0</v>
      </c>
      <c r="N78" s="113">
        <f ca="1">OFFSET(TblProd[[#This Row],[Boats]],-1,0)+OFFSET(TblProd[[#This Row],[Boats/hr]],-1,0)</f>
        <v>51</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2250</v>
      </c>
      <c r="Q78" s="113">
        <v>10000</v>
      </c>
      <c r="R78" s="184"/>
      <c r="S78" s="113">
        <f ca="1">ROUNDDOWN(TblProd[[#This Row],[Raw Plat/hr]]*(1+TblProd[[#This Row],[Bonus Plat/hr]]),0)</f>
        <v>34558</v>
      </c>
      <c r="T78" s="113">
        <f ca="1">ROUND(TblProd[[#This Row],[Raw Food/hr]]*(1+TblProd[[#This Row],[Bonus Food/hr]])-TblProd[[#This Row],[Food decay]]-TblProd[[#This Row],[Food eaten]],0)</f>
        <v>-47</v>
      </c>
      <c r="U78" s="113">
        <f ca="1">ROUND(TblProd[[#This Row],[Raw Lumber/hr]]*(1+TblProd[[#This Row],[Bonus Lumber/hr]])-TblProd[[#This Row],[Lumber rot]],0)</f>
        <v>644</v>
      </c>
      <c r="V78" s="113">
        <f ca="1">ROUND(TblProd[[#This Row],[Raw Mana/hr]]*(1+TblProd[[#This Row],[Bonus Mana/hr]])-TblProd[[#This Row],[Mana drain]],0)</f>
        <v>292</v>
      </c>
      <c r="W78" s="113">
        <f ca="1">ROUNDDOWN(TblProd[[#This Row],[Raw Ore/hr]]*(1+TblProd[[#This Row],[Bonux Ore/hr]]),0)</f>
        <v>1800</v>
      </c>
      <c r="X78" s="113">
        <f ca="1">ROUNDDOWN(TblProd[[#This Row],[Raw Gems/hr]]*(1+TblProd[[#This Row],[Bonus Gems/hr]]),0)</f>
        <v>0</v>
      </c>
      <c r="Y78" s="201">
        <f ca="1">OFFSET(TblConstr[[#This Row],[Tot Doc]],1,0)*dock_boats_hr * (1 + tech_4_1*TblTech[[#This Row],[4-1]])</f>
        <v>1</v>
      </c>
      <c r="Z78" s="200"/>
      <c r="AA78" s="113">
        <f ca="1">TblPop[[#This Row],[Peasants]]*tax*TblPop[[#This Row],[Employment]] + (Construction!AZ79+Construction!BX79)*(alch_plat+(Magic!AL78&gt;0)*alchemist_flame_bonus)</f>
        <v>31417.200000000001</v>
      </c>
      <c r="AB78" s="113">
        <f ca="1">TblConstr[[#This Row],[Tot Farm]]*farm_food + TblConstr[[#This Row],[Tot Doc]]*dock_food</f>
        <v>3100</v>
      </c>
      <c r="AC78" s="113">
        <f ca="1">TblConstr[[#This Row],[Tot Ly]]*ly_lumber + TblConstr[[#This Row],[Tot Hav]]*fh_lumber</f>
        <v>1000</v>
      </c>
      <c r="AD78" s="113">
        <f ca="1">OFFSET(TblConstr[[#This Row],[Tot Tow]],1,0)*(tower_mana + tech_4_5*TblTech[[#This Row],[4-5]])</f>
        <v>375</v>
      </c>
      <c r="AE78" s="113">
        <f ca="1">OFFSET(TblConstr[[#This Row],[Tot OM]],1,0)*om_ore+IF(race="Dwarf",ROUNDDOWN(TblMili[[#This Row],[Unit 2]]/2,0),)</f>
        <v>1800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0.1</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888.80000000000007</v>
      </c>
      <c r="AP78" s="113">
        <f ca="1">(1+race_food_consumption)*TblPop[[#This Row],[Total]]*food_per_person*(1+tech_1_10*TblTech[[#This Row],[1-10]]+tech_7_5*TblTech[[#This Row],[7-5]])</f>
        <v>2490.75</v>
      </c>
      <c r="AQ78" s="113">
        <f ca="1">TblProd[[#This Row],[Lumber]]*lumber_rot * (1 + tech_2_1*TblTech[[#This Row],[2-1]] + tech_2_8*TblTech[[#This Row],[2-8]] + tech_5_2*TblTech[[#This Row],[5-2]])</f>
        <v>356.45</v>
      </c>
      <c r="AR78" s="113">
        <f ca="1">TblProd[[#This Row],[Mana]]*mana_drain * (1 + tech_2_1*TblTech[[#This Row],[2-1]] + tech_2_8*TblTech[[#This Row],[2-8]])</f>
        <v>82.55</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44407.833333333154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397655</v>
      </c>
      <c r="BJ78" s="113">
        <f ca="1">TblProd[[#This Row],[Food]]</f>
        <v>88880</v>
      </c>
      <c r="BK78" s="113">
        <f ca="1">TblProd[[#This Row],[Lumber]]</f>
        <v>35645</v>
      </c>
      <c r="BL78" s="113">
        <f ca="1">TblProd[[#This Row],[Mana]]</f>
        <v>4127.5</v>
      </c>
      <c r="BM78" s="113">
        <f ca="1">TblProd[[#This Row],[Ore]]</f>
        <v>22790</v>
      </c>
    </row>
    <row r="79" spans="1:65" x14ac:dyDescent="0.2">
      <c r="A79" s="178">
        <v>4</v>
      </c>
      <c r="B79" s="198">
        <f ca="1">TblImps[[#This Row],[Time]]</f>
        <v>44407.874999999818</v>
      </c>
      <c r="C79" s="199"/>
      <c r="D79" s="200"/>
      <c r="E79" s="113">
        <f ca="1">TblConstr[[#This Row],[Land]]</f>
        <v>600</v>
      </c>
      <c r="F79" s="113">
        <f ca="1">TblPop[[#This Row],[Peasants]]</f>
        <v>7164</v>
      </c>
      <c r="G79" s="113">
        <f ca="1">TblMili[[#This Row],[Networth (2)]]</f>
        <v>29507.5</v>
      </c>
      <c r="H79" s="113">
        <f ca="1">OFFSET(TblProd[[#This Row],[Platinum]],-1,0)+OFFSET(TblProd[[#This Row],[Plat/hr]],-1,0) - TblProd[[#This Row],[Expenses Platinum]] + IF(TblProd[[#This Row],[Plat Bonus]],TblPop[[#This Row],[Peasants]]*4) + SUM(TblConstr[[#This Row],[Dest Hom]:[Dest Doc]])*TblConstr[[#This Row],[CPA Platinum -DB]]*tech_3_3_2*TblTech[[#This Row],[3-3]]</f>
        <v>432213</v>
      </c>
      <c r="I79" s="113">
        <f ca="1">OFFSET(TblProd[[#This Row],[Food]],-1,0)+OFFSET(TblProd[[#This Row],[Food/hr]],-1,0)+ROUNDUP((TblConstr[[#This Row],[Farms]]*80+TblConstr[[#This Row],[Docks]]*35)*(1+OFFSET(TblProd[[#This Row],[Bonus Food/hr]],-1,0)),0)</f>
        <v>88833</v>
      </c>
      <c r="J79" s="113">
        <f ca="1">OFFSET(TblProd[[#This Row],[Lumber]],-1,0)+OFFSET(TblProd[[#This Row],[Lumber/hr]],-1,0) - TblProd[[#This Row],[Expenses Lumber]] + SUM(TblConstr[[#This Row],[Dest Hom]:[Dest Doc]])*TblConstr[[#This Row],[CPA Lumber -DB]]*tech_3_3_2*TblTech[[#This Row],[3-3]]</f>
        <v>36289</v>
      </c>
      <c r="K79" s="113">
        <f ca="1">OFFSET(TblProd[[#This Row],[Mana]],-1,0)+OFFSET(TblProd[[#This Row],[Mana/hr]],-1,0)- TblProd[[#This Row],[Expenses Mana]]</f>
        <v>4419.5</v>
      </c>
      <c r="L79" s="113">
        <f ca="1">OFFSET(TblProd[[#This Row],[Ore]],-1,0)+OFFSET(TblProd[[#This Row],[Ore/hr]],-1,0) -TblProd[[#This Row],[Expenses Ore]]</f>
        <v>24590</v>
      </c>
      <c r="M79" s="113">
        <f ca="1">OFFSET(TblProd[[#This Row],[Gems]],-1,0)+OFFSET(TblProd[[#This Row],[Gems/hr]],-1,0) - TblProd[[#This Row],[Expenses Gems]]</f>
        <v>0</v>
      </c>
      <c r="N79" s="113">
        <f ca="1">OFFSET(TblProd[[#This Row],[Boats]],-1,0)+OFFSET(TblProd[[#This Row],[Boats/hr]],-1,0)</f>
        <v>52</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2250</v>
      </c>
      <c r="Q79" s="113">
        <v>10000</v>
      </c>
      <c r="R79" s="184"/>
      <c r="S79" s="113">
        <f ca="1">ROUNDDOWN(TblProd[[#This Row],[Raw Plat/hr]]*(1+TblProd[[#This Row],[Bonus Plat/hr]]),0)</f>
        <v>31222</v>
      </c>
      <c r="T79" s="113">
        <f ca="1">ROUND(TblProd[[#This Row],[Raw Food/hr]]*(1+TblProd[[#This Row],[Bonus Food/hr]])-TblProd[[#This Row],[Food decay]]-TblProd[[#This Row],[Food eaten]],0)</f>
        <v>-47</v>
      </c>
      <c r="U79" s="113">
        <f ca="1">ROUND(TblProd[[#This Row],[Raw Lumber/hr]]*(1+TblProd[[#This Row],[Bonus Lumber/hr]])-TblProd[[#This Row],[Lumber rot]],0)</f>
        <v>637</v>
      </c>
      <c r="V79" s="113">
        <f ca="1">ROUND(TblProd[[#This Row],[Raw Mana/hr]]*(1+TblProd[[#This Row],[Bonus Mana/hr]])-TblProd[[#This Row],[Mana drain]],0)</f>
        <v>287</v>
      </c>
      <c r="W79" s="113">
        <f ca="1">ROUNDDOWN(TblProd[[#This Row],[Raw Ore/hr]]*(1+TblProd[[#This Row],[Bonux Ore/hr]]),0)</f>
        <v>1800</v>
      </c>
      <c r="X79" s="113">
        <f ca="1">ROUNDDOWN(TblProd[[#This Row],[Raw Gems/hr]]*(1+TblProd[[#This Row],[Bonus Gems/hr]]),0)</f>
        <v>0</v>
      </c>
      <c r="Y79" s="201">
        <f ca="1">OFFSET(TblConstr[[#This Row],[Tot Doc]],1,0)*dock_boats_hr * (1 + tech_4_1*TblTech[[#This Row],[4-1]])</f>
        <v>1</v>
      </c>
      <c r="Z79" s="200"/>
      <c r="AA79" s="113">
        <f ca="1">TblPop[[#This Row],[Peasants]]*tax*TblPop[[#This Row],[Employment]] + (Construction!AZ80+Construction!BX80)*(alch_plat+(Magic!AL79&gt;0)*alchemist_flame_bonus)</f>
        <v>31222.800000000003</v>
      </c>
      <c r="AB79" s="113">
        <f ca="1">TblConstr[[#This Row],[Tot Farm]]*farm_food + TblConstr[[#This Row],[Tot Doc]]*dock_food</f>
        <v>3100</v>
      </c>
      <c r="AC79" s="113">
        <f ca="1">TblConstr[[#This Row],[Tot Ly]]*ly_lumber + TblConstr[[#This Row],[Tot Hav]]*fh_lumber</f>
        <v>1000</v>
      </c>
      <c r="AD79" s="113">
        <f ca="1">OFFSET(TblConstr[[#This Row],[Tot Tow]],1,0)*(tower_mana + tech_4_5*TblTech[[#This Row],[4-5]])</f>
        <v>375</v>
      </c>
      <c r="AE79" s="113">
        <f ca="1">OFFSET(TblConstr[[#This Row],[Tot OM]],1,0)*om_ore+IF(race="Dwarf",ROUNDDOWN(TblMili[[#This Row],[Unit 2]]/2,0),)</f>
        <v>1800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888.33</v>
      </c>
      <c r="AP79" s="113">
        <f ca="1">(1+race_food_consumption)*TblPop[[#This Row],[Total]]*food_per_person*(1+tech_1_10*TblTech[[#This Row],[1-10]]+tech_7_5*TblTech[[#This Row],[7-5]])</f>
        <v>2490.75</v>
      </c>
      <c r="AQ79" s="113">
        <f ca="1">TblProd[[#This Row],[Lumber]]*lumber_rot * (1 + tech_2_1*TblTech[[#This Row],[2-1]] + tech_2_8*TblTech[[#This Row],[2-8]] + tech_5_2*TblTech[[#This Row],[5-2]])</f>
        <v>362.89</v>
      </c>
      <c r="AR79" s="113">
        <f ca="1">TblProd[[#This Row],[Mana]]*mana_drain * (1 + tech_2_1*TblTech[[#This Row],[2-1]] + tech_2_8*TblTech[[#This Row],[2-8]])</f>
        <v>88.39</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44407.874999999818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432213</v>
      </c>
      <c r="BJ79" s="113">
        <f ca="1">TblProd[[#This Row],[Food]]</f>
        <v>88833</v>
      </c>
      <c r="BK79" s="113">
        <f ca="1">TblProd[[#This Row],[Lumber]]</f>
        <v>36289</v>
      </c>
      <c r="BL79" s="113">
        <f ca="1">TblProd[[#This Row],[Mana]]</f>
        <v>4419.5</v>
      </c>
      <c r="BM79" s="113">
        <f ca="1">TblProd[[#This Row],[Ore]]</f>
        <v>24590</v>
      </c>
    </row>
    <row r="80" spans="1:65" x14ac:dyDescent="0.2">
      <c r="A80" s="178">
        <v>5</v>
      </c>
      <c r="B80" s="198">
        <f ca="1">TblImps[[#This Row],[Time]]</f>
        <v>44407.916666666482</v>
      </c>
      <c r="C80" s="199"/>
      <c r="D80" s="200"/>
      <c r="E80" s="113">
        <f ca="1">TblConstr[[#This Row],[Land]]</f>
        <v>600</v>
      </c>
      <c r="F80" s="113">
        <f ca="1">TblPop[[#This Row],[Peasants]]</f>
        <v>7092</v>
      </c>
      <c r="G80" s="113">
        <f ca="1">TblMili[[#This Row],[Networth (2)]]</f>
        <v>29507.5</v>
      </c>
      <c r="H80" s="113">
        <f ca="1">OFFSET(TblProd[[#This Row],[Platinum]],-1,0)+OFFSET(TblProd[[#This Row],[Plat/hr]],-1,0) - TblProd[[#This Row],[Expenses Platinum]] + IF(TblProd[[#This Row],[Plat Bonus]],TblPop[[#This Row],[Peasants]]*4) + SUM(TblConstr[[#This Row],[Dest Hom]:[Dest Doc]])*TblConstr[[#This Row],[CPA Platinum -DB]]*tech_3_3_2*TblTech[[#This Row],[3-3]]</f>
        <v>463435</v>
      </c>
      <c r="I80" s="113">
        <f ca="1">OFFSET(TblProd[[#This Row],[Food]],-1,0)+OFFSET(TblProd[[#This Row],[Food/hr]],-1,0)+ROUNDUP((TblConstr[[#This Row],[Farms]]*80+TblConstr[[#This Row],[Docks]]*35)*(1+OFFSET(TblProd[[#This Row],[Bonus Food/hr]],-1,0)),0)</f>
        <v>88786</v>
      </c>
      <c r="J80" s="113">
        <f ca="1">OFFSET(TblProd[[#This Row],[Lumber]],-1,0)+OFFSET(TblProd[[#This Row],[Lumber/hr]],-1,0) - TblProd[[#This Row],[Expenses Lumber]] + SUM(TblConstr[[#This Row],[Dest Hom]:[Dest Doc]])*TblConstr[[#This Row],[CPA Lumber -DB]]*tech_3_3_2*TblTech[[#This Row],[3-3]]</f>
        <v>36926</v>
      </c>
      <c r="K80" s="113">
        <f ca="1">OFFSET(TblProd[[#This Row],[Mana]],-1,0)+OFFSET(TblProd[[#This Row],[Mana/hr]],-1,0)- TblProd[[#This Row],[Expenses Mana]]</f>
        <v>4706.5</v>
      </c>
      <c r="L80" s="113">
        <f ca="1">OFFSET(TblProd[[#This Row],[Ore]],-1,0)+OFFSET(TblProd[[#This Row],[Ore/hr]],-1,0) -TblProd[[#This Row],[Expenses Ore]]</f>
        <v>26390</v>
      </c>
      <c r="M80" s="113">
        <f ca="1">OFFSET(TblProd[[#This Row],[Gems]],-1,0)+OFFSET(TblProd[[#This Row],[Gems/hr]],-1,0) - TblProd[[#This Row],[Expenses Gems]]</f>
        <v>0</v>
      </c>
      <c r="N80" s="113">
        <f ca="1">OFFSET(TblProd[[#This Row],[Boats]],-1,0)+OFFSET(TblProd[[#This Row],[Boats/hr]],-1,0)</f>
        <v>53</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2250</v>
      </c>
      <c r="Q80" s="113">
        <v>10000</v>
      </c>
      <c r="R80" s="184"/>
      <c r="S80" s="113">
        <f ca="1">ROUNDDOWN(TblProd[[#This Row],[Raw Plat/hr]]*(1+TblProd[[#This Row],[Bonus Plat/hr]]),0)</f>
        <v>31028</v>
      </c>
      <c r="T80" s="113">
        <f ca="1">ROUND(TblProd[[#This Row],[Raw Food/hr]]*(1+TblProd[[#This Row],[Bonus Food/hr]])-TblProd[[#This Row],[Food decay]]-TblProd[[#This Row],[Food eaten]],0)</f>
        <v>-46</v>
      </c>
      <c r="U80" s="113">
        <f ca="1">ROUND(TblProd[[#This Row],[Raw Lumber/hr]]*(1+TblProd[[#This Row],[Bonus Lumber/hr]])-TblProd[[#This Row],[Lumber rot]],0)</f>
        <v>631</v>
      </c>
      <c r="V80" s="113">
        <f ca="1">ROUND(TblProd[[#This Row],[Raw Mana/hr]]*(1+TblProd[[#This Row],[Bonus Mana/hr]])-TblProd[[#This Row],[Mana drain]],0)</f>
        <v>281</v>
      </c>
      <c r="W80" s="113">
        <f ca="1">ROUNDDOWN(TblProd[[#This Row],[Raw Ore/hr]]*(1+TblProd[[#This Row],[Bonux Ore/hr]]),0)</f>
        <v>1800</v>
      </c>
      <c r="X80" s="113">
        <f ca="1">ROUNDDOWN(TblProd[[#This Row],[Raw Gems/hr]]*(1+TblProd[[#This Row],[Bonus Gems/hr]]),0)</f>
        <v>0</v>
      </c>
      <c r="Y80" s="201">
        <f ca="1">OFFSET(TblConstr[[#This Row],[Tot Doc]],1,0)*dock_boats_hr * (1 + tech_4_1*TblTech[[#This Row],[4-1]])</f>
        <v>1</v>
      </c>
      <c r="Z80" s="200"/>
      <c r="AA80" s="113">
        <f ca="1">TblPop[[#This Row],[Peasants]]*tax*TblPop[[#This Row],[Employment]] + (Construction!AZ81+Construction!BX81)*(alch_plat+(Magic!AL80&gt;0)*alchemist_flame_bonus)</f>
        <v>31028.400000000001</v>
      </c>
      <c r="AB80" s="113">
        <f ca="1">TblConstr[[#This Row],[Tot Farm]]*farm_food + TblConstr[[#This Row],[Tot Doc]]*dock_food</f>
        <v>3100</v>
      </c>
      <c r="AC80" s="113">
        <f ca="1">TblConstr[[#This Row],[Tot Ly]]*ly_lumber + TblConstr[[#This Row],[Tot Hav]]*fh_lumber</f>
        <v>1000</v>
      </c>
      <c r="AD80" s="113">
        <f ca="1">OFFSET(TblConstr[[#This Row],[Tot Tow]],1,0)*(tower_mana + tech_4_5*TblTech[[#This Row],[4-5]])</f>
        <v>375</v>
      </c>
      <c r="AE80" s="113">
        <f ca="1">OFFSET(TblConstr[[#This Row],[Tot OM]],1,0)*om_ore+IF(race="Dwarf",ROUNDDOWN(TblMili[[#This Row],[Unit 2]]/2,0),)</f>
        <v>1800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887.86</v>
      </c>
      <c r="AP80" s="113">
        <f ca="1">(1+race_food_consumption)*TblPop[[#This Row],[Total]]*food_per_person*(1+tech_1_10*TblTech[[#This Row],[1-10]]+tech_7_5*TblTech[[#This Row],[7-5]])</f>
        <v>2490.75</v>
      </c>
      <c r="AQ80" s="113">
        <f ca="1">TblProd[[#This Row],[Lumber]]*lumber_rot * (1 + tech_2_1*TblTech[[#This Row],[2-1]] + tech_2_8*TblTech[[#This Row],[2-8]] + tech_5_2*TblTech[[#This Row],[5-2]])</f>
        <v>369.26</v>
      </c>
      <c r="AR80" s="113">
        <f ca="1">TblProd[[#This Row],[Mana]]*mana_drain * (1 + tech_2_1*TblTech[[#This Row],[2-1]] + tech_2_8*TblTech[[#This Row],[2-8]])</f>
        <v>94.13</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44407.916666666482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463435</v>
      </c>
      <c r="BJ80" s="113">
        <f ca="1">TblProd[[#This Row],[Food]]</f>
        <v>88786</v>
      </c>
      <c r="BK80" s="113">
        <f ca="1">TblProd[[#This Row],[Lumber]]</f>
        <v>36926</v>
      </c>
      <c r="BL80" s="113">
        <f ca="1">TblProd[[#This Row],[Mana]]</f>
        <v>4706.5</v>
      </c>
      <c r="BM80" s="113">
        <f ca="1">TblProd[[#This Row],[Ore]]</f>
        <v>26390</v>
      </c>
    </row>
    <row r="81" spans="1:65" x14ac:dyDescent="0.2">
      <c r="A81" s="178">
        <v>6</v>
      </c>
      <c r="B81" s="198">
        <f ca="1">TblImps[[#This Row],[Time]]</f>
        <v>44407.958333333147</v>
      </c>
      <c r="C81" s="199"/>
      <c r="D81" s="200"/>
      <c r="E81" s="113">
        <f ca="1">TblConstr[[#This Row],[Land]]</f>
        <v>600</v>
      </c>
      <c r="F81" s="113">
        <f ca="1">TblPop[[#This Row],[Peasants]]</f>
        <v>7021</v>
      </c>
      <c r="G81" s="113">
        <f ca="1">TblMili[[#This Row],[Networth (2)]]</f>
        <v>29507.5</v>
      </c>
      <c r="H81" s="113">
        <f ca="1">OFFSET(TblProd[[#This Row],[Platinum]],-1,0)+OFFSET(TblProd[[#This Row],[Plat/hr]],-1,0) - TblProd[[#This Row],[Expenses Platinum]] + IF(TblProd[[#This Row],[Plat Bonus]],TblPop[[#This Row],[Peasants]]*4) + SUM(TblConstr[[#This Row],[Dest Hom]:[Dest Doc]])*TblConstr[[#This Row],[CPA Platinum -DB]]*tech_3_3_2*TblTech[[#This Row],[3-3]]</f>
        <v>494463</v>
      </c>
      <c r="I81" s="113">
        <f ca="1">OFFSET(TblProd[[#This Row],[Food]],-1,0)+OFFSET(TblProd[[#This Row],[Food/hr]],-1,0)+ROUNDUP((TblConstr[[#This Row],[Farms]]*80+TblConstr[[#This Row],[Docks]]*35)*(1+OFFSET(TblProd[[#This Row],[Bonus Food/hr]],-1,0)),0)</f>
        <v>88740</v>
      </c>
      <c r="J81" s="113">
        <f ca="1">OFFSET(TblProd[[#This Row],[Lumber]],-1,0)+OFFSET(TblProd[[#This Row],[Lumber/hr]],-1,0) - TblProd[[#This Row],[Expenses Lumber]] + SUM(TblConstr[[#This Row],[Dest Hom]:[Dest Doc]])*TblConstr[[#This Row],[CPA Lumber -DB]]*tech_3_3_2*TblTech[[#This Row],[3-3]]</f>
        <v>37557</v>
      </c>
      <c r="K81" s="113">
        <f ca="1">OFFSET(TblProd[[#This Row],[Mana]],-1,0)+OFFSET(TblProd[[#This Row],[Mana/hr]],-1,0)- TblProd[[#This Row],[Expenses Mana]]</f>
        <v>4987.5</v>
      </c>
      <c r="L81" s="113">
        <f ca="1">OFFSET(TblProd[[#This Row],[Ore]],-1,0)+OFFSET(TblProd[[#This Row],[Ore/hr]],-1,0) -TblProd[[#This Row],[Expenses Ore]]</f>
        <v>28190</v>
      </c>
      <c r="M81" s="113">
        <f ca="1">OFFSET(TblProd[[#This Row],[Gems]],-1,0)+OFFSET(TblProd[[#This Row],[Gems/hr]],-1,0) - TblProd[[#This Row],[Expenses Gems]]</f>
        <v>0</v>
      </c>
      <c r="N81" s="113">
        <f ca="1">OFFSET(TblProd[[#This Row],[Boats]],-1,0)+OFFSET(TblProd[[#This Row],[Boats/hr]],-1,0)</f>
        <v>54</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2250</v>
      </c>
      <c r="Q81" s="113">
        <v>10000</v>
      </c>
      <c r="R81" s="184"/>
      <c r="S81" s="113">
        <f ca="1">ROUNDDOWN(TblProd[[#This Row],[Raw Plat/hr]]*(1+TblProd[[#This Row],[Bonus Plat/hr]]),0)</f>
        <v>30836</v>
      </c>
      <c r="T81" s="113">
        <f ca="1">ROUND(TblProd[[#This Row],[Raw Food/hr]]*(1+TblProd[[#This Row],[Bonus Food/hr]])-TblProd[[#This Row],[Food decay]]-TblProd[[#This Row],[Food eaten]],0)</f>
        <v>-46</v>
      </c>
      <c r="U81" s="113">
        <f ca="1">ROUND(TblProd[[#This Row],[Raw Lumber/hr]]*(1+TblProd[[#This Row],[Bonus Lumber/hr]])-TblProd[[#This Row],[Lumber rot]],0)</f>
        <v>624</v>
      </c>
      <c r="V81" s="113">
        <f ca="1">ROUND(TblProd[[#This Row],[Raw Mana/hr]]*(1+TblProd[[#This Row],[Bonus Mana/hr]])-TblProd[[#This Row],[Mana drain]],0)</f>
        <v>275</v>
      </c>
      <c r="W81" s="113">
        <f ca="1">ROUNDDOWN(TblProd[[#This Row],[Raw Ore/hr]]*(1+TblProd[[#This Row],[Bonux Ore/hr]]),0)</f>
        <v>1800</v>
      </c>
      <c r="X81" s="113">
        <f ca="1">ROUNDDOWN(TblProd[[#This Row],[Raw Gems/hr]]*(1+TblProd[[#This Row],[Bonus Gems/hr]]),0)</f>
        <v>0</v>
      </c>
      <c r="Y81" s="201">
        <f ca="1">OFFSET(TblConstr[[#This Row],[Tot Doc]],1,0)*dock_boats_hr * (1 + tech_4_1*TblTech[[#This Row],[4-1]])</f>
        <v>1</v>
      </c>
      <c r="Z81" s="200"/>
      <c r="AA81" s="113">
        <f ca="1">TblPop[[#This Row],[Peasants]]*tax*TblPop[[#This Row],[Employment]] + (Construction!AZ82+Construction!BX82)*(alch_plat+(Magic!AL81&gt;0)*alchemist_flame_bonus)</f>
        <v>30836.7</v>
      </c>
      <c r="AB81" s="113">
        <f ca="1">TblConstr[[#This Row],[Tot Farm]]*farm_food + TblConstr[[#This Row],[Tot Doc]]*dock_food</f>
        <v>3100</v>
      </c>
      <c r="AC81" s="113">
        <f ca="1">TblConstr[[#This Row],[Tot Ly]]*ly_lumber + TblConstr[[#This Row],[Tot Hav]]*fh_lumber</f>
        <v>1000</v>
      </c>
      <c r="AD81" s="113">
        <f ca="1">OFFSET(TblConstr[[#This Row],[Tot Tow]],1,0)*(tower_mana + tech_4_5*TblTech[[#This Row],[4-5]])</f>
        <v>375</v>
      </c>
      <c r="AE81" s="113">
        <f ca="1">OFFSET(TblConstr[[#This Row],[Tot OM]],1,0)*om_ore+IF(race="Dwarf",ROUNDDOWN(TblMili[[#This Row],[Unit 2]]/2,0),)</f>
        <v>1800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887.4</v>
      </c>
      <c r="AP81" s="113">
        <f ca="1">(1+race_food_consumption)*TblPop[[#This Row],[Total]]*food_per_person*(1+tech_1_10*TblTech[[#This Row],[1-10]]+tech_7_5*TblTech[[#This Row],[7-5]])</f>
        <v>2490.75</v>
      </c>
      <c r="AQ81" s="113">
        <f ca="1">TblProd[[#This Row],[Lumber]]*lumber_rot * (1 + tech_2_1*TblTech[[#This Row],[2-1]] + tech_2_8*TblTech[[#This Row],[2-8]] + tech_5_2*TblTech[[#This Row],[5-2]])</f>
        <v>375.57</v>
      </c>
      <c r="AR81" s="113">
        <f ca="1">TblProd[[#This Row],[Mana]]*mana_drain * (1 + tech_2_1*TblTech[[#This Row],[2-1]] + tech_2_8*TblTech[[#This Row],[2-8]])</f>
        <v>99.75</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44407.958333333147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494463</v>
      </c>
      <c r="BJ81" s="113">
        <f ca="1">TblProd[[#This Row],[Food]]</f>
        <v>88740</v>
      </c>
      <c r="BK81" s="113">
        <f ca="1">TblProd[[#This Row],[Lumber]]</f>
        <v>37557</v>
      </c>
      <c r="BL81" s="113">
        <f ca="1">TblProd[[#This Row],[Mana]]</f>
        <v>4987.5</v>
      </c>
      <c r="BM81" s="113">
        <f ca="1">TblProd[[#This Row],[Ore]]</f>
        <v>28190</v>
      </c>
    </row>
    <row r="82" spans="1:65" x14ac:dyDescent="0.2">
      <c r="A82" s="178">
        <v>7</v>
      </c>
      <c r="B82" s="198">
        <f ca="1">TblImps[[#This Row],[Time]]</f>
        <v>44407.999999999811</v>
      </c>
      <c r="C82" s="199"/>
      <c r="D82" s="200"/>
      <c r="E82" s="113">
        <f ca="1">TblConstr[[#This Row],[Land]]</f>
        <v>600</v>
      </c>
      <c r="F82" s="113">
        <f ca="1">TblPop[[#This Row],[Peasants]]</f>
        <v>6951</v>
      </c>
      <c r="G82" s="113">
        <f ca="1">TblMili[[#This Row],[Networth (2)]]</f>
        <v>29507.5</v>
      </c>
      <c r="H82" s="113">
        <f ca="1">OFFSET(TblProd[[#This Row],[Platinum]],-1,0)+OFFSET(TblProd[[#This Row],[Plat/hr]],-1,0) - TblProd[[#This Row],[Expenses Platinum]] + IF(TblProd[[#This Row],[Plat Bonus]],TblPop[[#This Row],[Peasants]]*4) + SUM(TblConstr[[#This Row],[Dest Hom]:[Dest Doc]])*TblConstr[[#This Row],[CPA Platinum -DB]]*tech_3_3_2*TblTech[[#This Row],[3-3]]</f>
        <v>525299</v>
      </c>
      <c r="I82" s="113">
        <f ca="1">OFFSET(TblProd[[#This Row],[Food]],-1,0)+OFFSET(TblProd[[#This Row],[Food/hr]],-1,0)+ROUNDUP((TblConstr[[#This Row],[Farms]]*80+TblConstr[[#This Row],[Docks]]*35)*(1+OFFSET(TblProd[[#This Row],[Bonus Food/hr]],-1,0)),0)</f>
        <v>88694</v>
      </c>
      <c r="J82" s="113">
        <f ca="1">OFFSET(TblProd[[#This Row],[Lumber]],-1,0)+OFFSET(TblProd[[#This Row],[Lumber/hr]],-1,0) - TblProd[[#This Row],[Expenses Lumber]] + SUM(TblConstr[[#This Row],[Dest Hom]:[Dest Doc]])*TblConstr[[#This Row],[CPA Lumber -DB]]*tech_3_3_2*TblTech[[#This Row],[3-3]]</f>
        <v>38181</v>
      </c>
      <c r="K82" s="113">
        <f ca="1">OFFSET(TblProd[[#This Row],[Mana]],-1,0)+OFFSET(TblProd[[#This Row],[Mana/hr]],-1,0)- TblProd[[#This Row],[Expenses Mana]]</f>
        <v>5262.5</v>
      </c>
      <c r="L82" s="113">
        <f ca="1">OFFSET(TblProd[[#This Row],[Ore]],-1,0)+OFFSET(TblProd[[#This Row],[Ore/hr]],-1,0) -TblProd[[#This Row],[Expenses Ore]]</f>
        <v>29990</v>
      </c>
      <c r="M82" s="113">
        <f ca="1">OFFSET(TblProd[[#This Row],[Gems]],-1,0)+OFFSET(TblProd[[#This Row],[Gems/hr]],-1,0) - TblProd[[#This Row],[Expenses Gems]]</f>
        <v>0</v>
      </c>
      <c r="N82" s="113">
        <f ca="1">OFFSET(TblProd[[#This Row],[Boats]],-1,0)+OFFSET(TblProd[[#This Row],[Boats/hr]],-1,0)</f>
        <v>55</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2250</v>
      </c>
      <c r="Q82" s="113">
        <v>10000</v>
      </c>
      <c r="R82" s="184"/>
      <c r="S82" s="113">
        <f ca="1">ROUNDDOWN(TblProd[[#This Row],[Raw Plat/hr]]*(1+TblProd[[#This Row],[Bonus Plat/hr]]),0)</f>
        <v>30647</v>
      </c>
      <c r="T82" s="113">
        <f ca="1">ROUND(TblProd[[#This Row],[Raw Food/hr]]*(1+TblProd[[#This Row],[Bonus Food/hr]])-TblProd[[#This Row],[Food decay]]-TblProd[[#This Row],[Food eaten]],0)</f>
        <v>-45</v>
      </c>
      <c r="U82" s="113">
        <f ca="1">ROUND(TblProd[[#This Row],[Raw Lumber/hr]]*(1+TblProd[[#This Row],[Bonus Lumber/hr]])-TblProd[[#This Row],[Lumber rot]],0)</f>
        <v>618</v>
      </c>
      <c r="V82" s="113">
        <f ca="1">ROUND(TblProd[[#This Row],[Raw Mana/hr]]*(1+TblProd[[#This Row],[Bonus Mana/hr]])-TblProd[[#This Row],[Mana drain]],0)</f>
        <v>270</v>
      </c>
      <c r="W82" s="113">
        <f ca="1">ROUNDDOWN(TblProd[[#This Row],[Raw Ore/hr]]*(1+TblProd[[#This Row],[Bonux Ore/hr]]),0)</f>
        <v>1800</v>
      </c>
      <c r="X82" s="113">
        <f ca="1">ROUNDDOWN(TblProd[[#This Row],[Raw Gems/hr]]*(1+TblProd[[#This Row],[Bonus Gems/hr]]),0)</f>
        <v>0</v>
      </c>
      <c r="Y82" s="201">
        <f ca="1">OFFSET(TblConstr[[#This Row],[Tot Doc]],1,0)*dock_boats_hr * (1 + tech_4_1*TblTech[[#This Row],[4-1]])</f>
        <v>1</v>
      </c>
      <c r="Z82" s="200"/>
      <c r="AA82" s="113">
        <f ca="1">TblPop[[#This Row],[Peasants]]*tax*TblPop[[#This Row],[Employment]] + (Construction!AZ83+Construction!BX83)*(alch_plat+(Magic!AL82&gt;0)*alchemist_flame_bonus)</f>
        <v>30647.7</v>
      </c>
      <c r="AB82" s="113">
        <f ca="1">TblConstr[[#This Row],[Tot Farm]]*farm_food + TblConstr[[#This Row],[Tot Doc]]*dock_food</f>
        <v>3100</v>
      </c>
      <c r="AC82" s="113">
        <f ca="1">TblConstr[[#This Row],[Tot Ly]]*ly_lumber + TblConstr[[#This Row],[Tot Hav]]*fh_lumber</f>
        <v>1000</v>
      </c>
      <c r="AD82" s="113">
        <f ca="1">OFFSET(TblConstr[[#This Row],[Tot Tow]],1,0)*(tower_mana + tech_4_5*TblTech[[#This Row],[4-5]])</f>
        <v>375</v>
      </c>
      <c r="AE82" s="113">
        <f ca="1">OFFSET(TblConstr[[#This Row],[Tot OM]],1,0)*om_ore+IF(race="Dwarf",ROUNDDOWN(TblMili[[#This Row],[Unit 2]]/2,0),)</f>
        <v>1800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886.94</v>
      </c>
      <c r="AP82" s="113">
        <f ca="1">(1+race_food_consumption)*TblPop[[#This Row],[Total]]*food_per_person*(1+tech_1_10*TblTech[[#This Row],[1-10]]+tech_7_5*TblTech[[#This Row],[7-5]])</f>
        <v>2490.75</v>
      </c>
      <c r="AQ82" s="113">
        <f ca="1">TblProd[[#This Row],[Lumber]]*lumber_rot * (1 + tech_2_1*TblTech[[#This Row],[2-1]] + tech_2_8*TblTech[[#This Row],[2-8]] + tech_5_2*TblTech[[#This Row],[5-2]])</f>
        <v>381.81</v>
      </c>
      <c r="AR82" s="113">
        <f ca="1">TblProd[[#This Row],[Mana]]*mana_drain * (1 + tech_2_1*TblTech[[#This Row],[2-1]] + tech_2_8*TblTech[[#This Row],[2-8]])</f>
        <v>105.25</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44407.999999999811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525299</v>
      </c>
      <c r="BJ82" s="113">
        <f ca="1">TblProd[[#This Row],[Food]]</f>
        <v>88694</v>
      </c>
      <c r="BK82" s="113">
        <f ca="1">TblProd[[#This Row],[Lumber]]</f>
        <v>38181</v>
      </c>
      <c r="BL82" s="113">
        <f ca="1">TblProd[[#This Row],[Mana]]</f>
        <v>5262.5</v>
      </c>
      <c r="BM82" s="113">
        <f ca="1">TblProd[[#This Row],[Ore]]</f>
        <v>29990</v>
      </c>
    </row>
    <row r="83" spans="1:65" x14ac:dyDescent="0.2">
      <c r="A83" s="178">
        <v>8</v>
      </c>
      <c r="B83" s="198">
        <f ca="1">TblImps[[#This Row],[Time]]</f>
        <v>44408.041666666475</v>
      </c>
      <c r="C83" s="199"/>
      <c r="D83" s="200"/>
      <c r="E83" s="113">
        <f ca="1">TblConstr[[#This Row],[Land]]</f>
        <v>600</v>
      </c>
      <c r="F83" s="113">
        <f ca="1">TblPop[[#This Row],[Peasants]]</f>
        <v>6881</v>
      </c>
      <c r="G83" s="113">
        <f ca="1">TblMili[[#This Row],[Networth (2)]]</f>
        <v>29507.5</v>
      </c>
      <c r="H83" s="113">
        <f ca="1">OFFSET(TblProd[[#This Row],[Platinum]],-1,0)+OFFSET(TblProd[[#This Row],[Plat/hr]],-1,0) - TblProd[[#This Row],[Expenses Platinum]] + IF(TblProd[[#This Row],[Plat Bonus]],TblPop[[#This Row],[Peasants]]*4) + SUM(TblConstr[[#This Row],[Dest Hom]:[Dest Doc]])*TblConstr[[#This Row],[CPA Platinum -DB]]*tech_3_3_2*TblTech[[#This Row],[3-3]]</f>
        <v>555946</v>
      </c>
      <c r="I83" s="113">
        <f ca="1">OFFSET(TblProd[[#This Row],[Food]],-1,0)+OFFSET(TblProd[[#This Row],[Food/hr]],-1,0)+ROUNDUP((TblConstr[[#This Row],[Farms]]*80+TblConstr[[#This Row],[Docks]]*35)*(1+OFFSET(TblProd[[#This Row],[Bonus Food/hr]],-1,0)),0)</f>
        <v>88649</v>
      </c>
      <c r="J83" s="113">
        <f ca="1">OFFSET(TblProd[[#This Row],[Lumber]],-1,0)+OFFSET(TblProd[[#This Row],[Lumber/hr]],-1,0) - TblProd[[#This Row],[Expenses Lumber]] + SUM(TblConstr[[#This Row],[Dest Hom]:[Dest Doc]])*TblConstr[[#This Row],[CPA Lumber -DB]]*tech_3_3_2*TblTech[[#This Row],[3-3]]</f>
        <v>38799</v>
      </c>
      <c r="K83" s="113">
        <f ca="1">OFFSET(TblProd[[#This Row],[Mana]],-1,0)+OFFSET(TblProd[[#This Row],[Mana/hr]],-1,0)- TblProd[[#This Row],[Expenses Mana]]</f>
        <v>5532.5</v>
      </c>
      <c r="L83" s="113">
        <f ca="1">OFFSET(TblProd[[#This Row],[Ore]],-1,0)+OFFSET(TblProd[[#This Row],[Ore/hr]],-1,0) -TblProd[[#This Row],[Expenses Ore]]</f>
        <v>31790</v>
      </c>
      <c r="M83" s="113">
        <f ca="1">OFFSET(TblProd[[#This Row],[Gems]],-1,0)+OFFSET(TblProd[[#This Row],[Gems/hr]],-1,0) - TblProd[[#This Row],[Expenses Gems]]</f>
        <v>0</v>
      </c>
      <c r="N83" s="113">
        <f ca="1">OFFSET(TblProd[[#This Row],[Boats]],-1,0)+OFFSET(TblProd[[#This Row],[Boats/hr]],-1,0)</f>
        <v>56</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2250</v>
      </c>
      <c r="Q83" s="113">
        <v>10000</v>
      </c>
      <c r="R83" s="184"/>
      <c r="S83" s="113">
        <f ca="1">ROUNDDOWN(TblProd[[#This Row],[Raw Plat/hr]]*(1+TblProd[[#This Row],[Bonus Plat/hr]]),0)</f>
        <v>30458</v>
      </c>
      <c r="T83" s="113">
        <f ca="1">ROUND(TblProd[[#This Row],[Raw Food/hr]]*(1+TblProd[[#This Row],[Bonus Food/hr]])-TblProd[[#This Row],[Food decay]]-TblProd[[#This Row],[Food eaten]],0)</f>
        <v>-45</v>
      </c>
      <c r="U83" s="113">
        <f ca="1">ROUND(TblProd[[#This Row],[Raw Lumber/hr]]*(1+TblProd[[#This Row],[Bonus Lumber/hr]])-TblProd[[#This Row],[Lumber rot]],0)</f>
        <v>612</v>
      </c>
      <c r="V83" s="113">
        <f ca="1">ROUND(TblProd[[#This Row],[Raw Mana/hr]]*(1+TblProd[[#This Row],[Bonus Mana/hr]])-TblProd[[#This Row],[Mana drain]],0)</f>
        <v>264</v>
      </c>
      <c r="W83" s="113">
        <f ca="1">ROUNDDOWN(TblProd[[#This Row],[Raw Ore/hr]]*(1+TblProd[[#This Row],[Bonux Ore/hr]]),0)</f>
        <v>1800</v>
      </c>
      <c r="X83" s="113">
        <f ca="1">ROUNDDOWN(TblProd[[#This Row],[Raw Gems/hr]]*(1+TblProd[[#This Row],[Bonus Gems/hr]]),0)</f>
        <v>0</v>
      </c>
      <c r="Y83" s="201">
        <f ca="1">OFFSET(TblConstr[[#This Row],[Tot Doc]],1,0)*dock_boats_hr * (1 + tech_4_1*TblTech[[#This Row],[4-1]])</f>
        <v>1</v>
      </c>
      <c r="Z83" s="200"/>
      <c r="AA83" s="113">
        <f ca="1">TblPop[[#This Row],[Peasants]]*tax*TblPop[[#This Row],[Employment]] + (Construction!AZ84+Construction!BX84)*(alch_plat+(Magic!AL83&gt;0)*alchemist_flame_bonus)</f>
        <v>30458.7</v>
      </c>
      <c r="AB83" s="113">
        <f ca="1">TblConstr[[#This Row],[Tot Farm]]*farm_food + TblConstr[[#This Row],[Tot Doc]]*dock_food</f>
        <v>3100</v>
      </c>
      <c r="AC83" s="113">
        <f ca="1">TblConstr[[#This Row],[Tot Ly]]*ly_lumber + TblConstr[[#This Row],[Tot Hav]]*fh_lumber</f>
        <v>1000</v>
      </c>
      <c r="AD83" s="113">
        <f ca="1">OFFSET(TblConstr[[#This Row],[Tot Tow]],1,0)*(tower_mana + tech_4_5*TblTech[[#This Row],[4-5]])</f>
        <v>375</v>
      </c>
      <c r="AE83" s="113">
        <f ca="1">OFFSET(TblConstr[[#This Row],[Tot OM]],1,0)*om_ore+IF(race="Dwarf",ROUNDDOWN(TblMili[[#This Row],[Unit 2]]/2,0),)</f>
        <v>1800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886.49</v>
      </c>
      <c r="AP83" s="113">
        <f ca="1">(1+race_food_consumption)*TblPop[[#This Row],[Total]]*food_per_person*(1+tech_1_10*TblTech[[#This Row],[1-10]]+tech_7_5*TblTech[[#This Row],[7-5]])</f>
        <v>2490.75</v>
      </c>
      <c r="AQ83" s="113">
        <f ca="1">TblProd[[#This Row],[Lumber]]*lumber_rot * (1 + tech_2_1*TblTech[[#This Row],[2-1]] + tech_2_8*TblTech[[#This Row],[2-8]] + tech_5_2*TblTech[[#This Row],[5-2]])</f>
        <v>387.99</v>
      </c>
      <c r="AR83" s="113">
        <f ca="1">TblProd[[#This Row],[Mana]]*mana_drain * (1 + tech_2_1*TblTech[[#This Row],[2-1]] + tech_2_8*TblTech[[#This Row],[2-8]])</f>
        <v>110.65</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44408.041666666475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555946</v>
      </c>
      <c r="BJ83" s="113">
        <f ca="1">TblProd[[#This Row],[Food]]</f>
        <v>88649</v>
      </c>
      <c r="BK83" s="113">
        <f ca="1">TblProd[[#This Row],[Lumber]]</f>
        <v>38799</v>
      </c>
      <c r="BL83" s="113">
        <f ca="1">TblProd[[#This Row],[Mana]]</f>
        <v>5532.5</v>
      </c>
      <c r="BM83" s="113">
        <f ca="1">TblProd[[#This Row],[Ore]]</f>
        <v>31790</v>
      </c>
    </row>
    <row r="84" spans="1:65" x14ac:dyDescent="0.2">
      <c r="A84" s="178">
        <v>9</v>
      </c>
      <c r="B84" s="198">
        <f ca="1">TblImps[[#This Row],[Time]]</f>
        <v>44408.083333333139</v>
      </c>
      <c r="C84" s="199"/>
      <c r="D84" s="200"/>
      <c r="E84" s="113">
        <f ca="1">TblConstr[[#This Row],[Land]]</f>
        <v>600</v>
      </c>
      <c r="F84" s="113">
        <f ca="1">TblPop[[#This Row],[Peasants]]</f>
        <v>6812</v>
      </c>
      <c r="G84" s="113">
        <f ca="1">TblMili[[#This Row],[Networth (2)]]</f>
        <v>29507.5</v>
      </c>
      <c r="H84" s="113">
        <f ca="1">OFFSET(TblProd[[#This Row],[Platinum]],-1,0)+OFFSET(TblProd[[#This Row],[Plat/hr]],-1,0) - TblProd[[#This Row],[Expenses Platinum]] + IF(TblProd[[#This Row],[Plat Bonus]],TblPop[[#This Row],[Peasants]]*4) + SUM(TblConstr[[#This Row],[Dest Hom]:[Dest Doc]])*TblConstr[[#This Row],[CPA Platinum -DB]]*tech_3_3_2*TblTech[[#This Row],[3-3]]</f>
        <v>586404</v>
      </c>
      <c r="I84" s="113">
        <f ca="1">OFFSET(TblProd[[#This Row],[Food]],-1,0)+OFFSET(TblProd[[#This Row],[Food/hr]],-1,0)+ROUNDUP((TblConstr[[#This Row],[Farms]]*80+TblConstr[[#This Row],[Docks]]*35)*(1+OFFSET(TblProd[[#This Row],[Bonus Food/hr]],-1,0)),0)</f>
        <v>88604</v>
      </c>
      <c r="J84" s="113">
        <f ca="1">OFFSET(TblProd[[#This Row],[Lumber]],-1,0)+OFFSET(TblProd[[#This Row],[Lumber/hr]],-1,0) - TblProd[[#This Row],[Expenses Lumber]] + SUM(TblConstr[[#This Row],[Dest Hom]:[Dest Doc]])*TblConstr[[#This Row],[CPA Lumber -DB]]*tech_3_3_2*TblTech[[#This Row],[3-3]]</f>
        <v>39411</v>
      </c>
      <c r="K84" s="113">
        <f ca="1">OFFSET(TblProd[[#This Row],[Mana]],-1,0)+OFFSET(TblProd[[#This Row],[Mana/hr]],-1,0)- TblProd[[#This Row],[Expenses Mana]]</f>
        <v>5796.5</v>
      </c>
      <c r="L84" s="113">
        <f ca="1">OFFSET(TblProd[[#This Row],[Ore]],-1,0)+OFFSET(TblProd[[#This Row],[Ore/hr]],-1,0) -TblProd[[#This Row],[Expenses Ore]]</f>
        <v>33590</v>
      </c>
      <c r="M84" s="113">
        <f ca="1">OFFSET(TblProd[[#This Row],[Gems]],-1,0)+OFFSET(TblProd[[#This Row],[Gems/hr]],-1,0) - TblProd[[#This Row],[Expenses Gems]]</f>
        <v>0</v>
      </c>
      <c r="N84" s="113">
        <f ca="1">OFFSET(TblProd[[#This Row],[Boats]],-1,0)+OFFSET(TblProd[[#This Row],[Boats/hr]],-1,0)</f>
        <v>57</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2250</v>
      </c>
      <c r="Q84" s="113">
        <v>10000</v>
      </c>
      <c r="R84" s="184"/>
      <c r="S84" s="113">
        <f ca="1">ROUNDDOWN(TblProd[[#This Row],[Raw Plat/hr]]*(1+TblProd[[#This Row],[Bonus Plat/hr]]),0)</f>
        <v>30272</v>
      </c>
      <c r="T84" s="113">
        <f ca="1">ROUND(TblProd[[#This Row],[Raw Food/hr]]*(1+TblProd[[#This Row],[Bonus Food/hr]])-TblProd[[#This Row],[Food decay]]-TblProd[[#This Row],[Food eaten]],0)</f>
        <v>-44</v>
      </c>
      <c r="U84" s="113">
        <f ca="1">ROUND(TblProd[[#This Row],[Raw Lumber/hr]]*(1+TblProd[[#This Row],[Bonus Lumber/hr]])-TblProd[[#This Row],[Lumber rot]],0)</f>
        <v>606</v>
      </c>
      <c r="V84" s="113">
        <f ca="1">ROUND(TblProd[[#This Row],[Raw Mana/hr]]*(1+TblProd[[#This Row],[Bonus Mana/hr]])-TblProd[[#This Row],[Mana drain]],0)</f>
        <v>259</v>
      </c>
      <c r="W84" s="113">
        <f ca="1">ROUNDDOWN(TblProd[[#This Row],[Raw Ore/hr]]*(1+TblProd[[#This Row],[Bonux Ore/hr]]),0)</f>
        <v>1800</v>
      </c>
      <c r="X84" s="113">
        <f ca="1">ROUNDDOWN(TblProd[[#This Row],[Raw Gems/hr]]*(1+TblProd[[#This Row],[Bonus Gems/hr]]),0)</f>
        <v>0</v>
      </c>
      <c r="Y84" s="201">
        <f ca="1">OFFSET(TblConstr[[#This Row],[Tot Doc]],1,0)*dock_boats_hr * (1 + tech_4_1*TblTech[[#This Row],[4-1]])</f>
        <v>1</v>
      </c>
      <c r="Z84" s="200"/>
      <c r="AA84" s="113">
        <f ca="1">TblPop[[#This Row],[Peasants]]*tax*TblPop[[#This Row],[Employment]] + (Construction!AZ85+Construction!BX85)*(alch_plat+(Magic!AL84&gt;0)*alchemist_flame_bonus)</f>
        <v>30272.400000000001</v>
      </c>
      <c r="AB84" s="113">
        <f ca="1">TblConstr[[#This Row],[Tot Farm]]*farm_food + TblConstr[[#This Row],[Tot Doc]]*dock_food</f>
        <v>3100</v>
      </c>
      <c r="AC84" s="113">
        <f ca="1">TblConstr[[#This Row],[Tot Ly]]*ly_lumber + TblConstr[[#This Row],[Tot Hav]]*fh_lumber</f>
        <v>1000</v>
      </c>
      <c r="AD84" s="113">
        <f ca="1">OFFSET(TblConstr[[#This Row],[Tot Tow]],1,0)*(tower_mana + tech_4_5*TblTech[[#This Row],[4-5]])</f>
        <v>375</v>
      </c>
      <c r="AE84" s="113">
        <f ca="1">OFFSET(TblConstr[[#This Row],[Tot OM]],1,0)*om_ore+IF(race="Dwarf",ROUNDDOWN(TblMili[[#This Row],[Unit 2]]/2,0),)</f>
        <v>1800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886.04</v>
      </c>
      <c r="AP84" s="113">
        <f ca="1">(1+race_food_consumption)*TblPop[[#This Row],[Total]]*food_per_person*(1+tech_1_10*TblTech[[#This Row],[1-10]]+tech_7_5*TblTech[[#This Row],[7-5]])</f>
        <v>2490.75</v>
      </c>
      <c r="AQ84" s="113">
        <f ca="1">TblProd[[#This Row],[Lumber]]*lumber_rot * (1 + tech_2_1*TblTech[[#This Row],[2-1]] + tech_2_8*TblTech[[#This Row],[2-8]] + tech_5_2*TblTech[[#This Row],[5-2]])</f>
        <v>394.11</v>
      </c>
      <c r="AR84" s="113">
        <f ca="1">TblProd[[#This Row],[Mana]]*mana_drain * (1 + tech_2_1*TblTech[[#This Row],[2-1]] + tech_2_8*TblTech[[#This Row],[2-8]])</f>
        <v>115.93</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44408.083333333139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586404</v>
      </c>
      <c r="BJ84" s="113">
        <f ca="1">TblProd[[#This Row],[Food]]</f>
        <v>88604</v>
      </c>
      <c r="BK84" s="113">
        <f ca="1">TblProd[[#This Row],[Lumber]]</f>
        <v>39411</v>
      </c>
      <c r="BL84" s="113">
        <f ca="1">TblProd[[#This Row],[Mana]]</f>
        <v>5796.5</v>
      </c>
      <c r="BM84" s="113">
        <f ca="1">TblProd[[#This Row],[Ore]]</f>
        <v>33590</v>
      </c>
    </row>
    <row r="85" spans="1:65" x14ac:dyDescent="0.2">
      <c r="A85" s="178">
        <v>10</v>
      </c>
      <c r="B85" s="198">
        <f ca="1">TblImps[[#This Row],[Time]]</f>
        <v>44408.124999999804</v>
      </c>
      <c r="C85" s="199"/>
      <c r="D85" s="200"/>
      <c r="E85" s="113">
        <f ca="1">TblConstr[[#This Row],[Land]]</f>
        <v>600</v>
      </c>
      <c r="F85" s="113">
        <f ca="1">TblPop[[#This Row],[Peasants]]</f>
        <v>6744</v>
      </c>
      <c r="G85" s="113">
        <f ca="1">TblMili[[#This Row],[Networth (2)]]</f>
        <v>29507.5</v>
      </c>
      <c r="H85" s="113">
        <f ca="1">OFFSET(TblProd[[#This Row],[Platinum]],-1,0)+OFFSET(TblProd[[#This Row],[Plat/hr]],-1,0) - TblProd[[#This Row],[Expenses Platinum]] + IF(TblProd[[#This Row],[Plat Bonus]],TblPop[[#This Row],[Peasants]]*4) + SUM(TblConstr[[#This Row],[Dest Hom]:[Dest Doc]])*TblConstr[[#This Row],[CPA Platinum -DB]]*tech_3_3_2*TblTech[[#This Row],[3-3]]</f>
        <v>616676</v>
      </c>
      <c r="I85" s="113">
        <f ca="1">OFFSET(TblProd[[#This Row],[Food]],-1,0)+OFFSET(TblProd[[#This Row],[Food/hr]],-1,0)+ROUNDUP((TblConstr[[#This Row],[Farms]]*80+TblConstr[[#This Row],[Docks]]*35)*(1+OFFSET(TblProd[[#This Row],[Bonus Food/hr]],-1,0)),0)</f>
        <v>88560</v>
      </c>
      <c r="J85" s="113">
        <f ca="1">OFFSET(TblProd[[#This Row],[Lumber]],-1,0)+OFFSET(TblProd[[#This Row],[Lumber/hr]],-1,0) - TblProd[[#This Row],[Expenses Lumber]] + SUM(TblConstr[[#This Row],[Dest Hom]:[Dest Doc]])*TblConstr[[#This Row],[CPA Lumber -DB]]*tech_3_3_2*TblTech[[#This Row],[3-3]]</f>
        <v>40017</v>
      </c>
      <c r="K85" s="113">
        <f ca="1">OFFSET(TblProd[[#This Row],[Mana]],-1,0)+OFFSET(TblProd[[#This Row],[Mana/hr]],-1,0)- TblProd[[#This Row],[Expenses Mana]]</f>
        <v>6055.5</v>
      </c>
      <c r="L85" s="113">
        <f ca="1">OFFSET(TblProd[[#This Row],[Ore]],-1,0)+OFFSET(TblProd[[#This Row],[Ore/hr]],-1,0) -TblProd[[#This Row],[Expenses Ore]]</f>
        <v>35390</v>
      </c>
      <c r="M85" s="113">
        <f ca="1">OFFSET(TblProd[[#This Row],[Gems]],-1,0)+OFFSET(TblProd[[#This Row],[Gems/hr]],-1,0) - TblProd[[#This Row],[Expenses Gems]]</f>
        <v>0</v>
      </c>
      <c r="N85" s="113">
        <f ca="1">OFFSET(TblProd[[#This Row],[Boats]],-1,0)+OFFSET(TblProd[[#This Row],[Boats/hr]],-1,0)</f>
        <v>58</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2250</v>
      </c>
      <c r="Q85" s="113">
        <v>10000</v>
      </c>
      <c r="R85" s="184"/>
      <c r="S85" s="113">
        <f ca="1">ROUNDDOWN(TblProd[[#This Row],[Raw Plat/hr]]*(1+TblProd[[#This Row],[Bonus Plat/hr]]),0)</f>
        <v>30088</v>
      </c>
      <c r="T85" s="113">
        <f ca="1">ROUND(TblProd[[#This Row],[Raw Food/hr]]*(1+TblProd[[#This Row],[Bonus Food/hr]])-TblProd[[#This Row],[Food decay]]-TblProd[[#This Row],[Food eaten]],0)</f>
        <v>-44</v>
      </c>
      <c r="U85" s="113">
        <f ca="1">ROUND(TblProd[[#This Row],[Raw Lumber/hr]]*(1+TblProd[[#This Row],[Bonus Lumber/hr]])-TblProd[[#This Row],[Lumber rot]],0)</f>
        <v>600</v>
      </c>
      <c r="V85" s="113">
        <f ca="1">ROUND(TblProd[[#This Row],[Raw Mana/hr]]*(1+TblProd[[#This Row],[Bonus Mana/hr]])-TblProd[[#This Row],[Mana drain]],0)</f>
        <v>254</v>
      </c>
      <c r="W85" s="113">
        <f ca="1">ROUNDDOWN(TblProd[[#This Row],[Raw Ore/hr]]*(1+TblProd[[#This Row],[Bonux Ore/hr]]),0)</f>
        <v>1800</v>
      </c>
      <c r="X85" s="113">
        <f ca="1">ROUNDDOWN(TblProd[[#This Row],[Raw Gems/hr]]*(1+TblProd[[#This Row],[Bonus Gems/hr]]),0)</f>
        <v>0</v>
      </c>
      <c r="Y85" s="201">
        <f ca="1">OFFSET(TblConstr[[#This Row],[Tot Doc]],1,0)*dock_boats_hr * (1 + tech_4_1*TblTech[[#This Row],[4-1]])</f>
        <v>1</v>
      </c>
      <c r="Z85" s="200"/>
      <c r="AA85" s="113">
        <f ca="1">TblPop[[#This Row],[Peasants]]*tax*TblPop[[#This Row],[Employment]] + (Construction!AZ86+Construction!BX86)*(alch_plat+(Magic!AL85&gt;0)*alchemist_flame_bonus)</f>
        <v>30088.800000000003</v>
      </c>
      <c r="AB85" s="113">
        <f ca="1">TblConstr[[#This Row],[Tot Farm]]*farm_food + TblConstr[[#This Row],[Tot Doc]]*dock_food</f>
        <v>3100</v>
      </c>
      <c r="AC85" s="113">
        <f ca="1">TblConstr[[#This Row],[Tot Ly]]*ly_lumber + TblConstr[[#This Row],[Tot Hav]]*fh_lumber</f>
        <v>1000</v>
      </c>
      <c r="AD85" s="113">
        <f ca="1">OFFSET(TblConstr[[#This Row],[Tot Tow]],1,0)*(tower_mana + tech_4_5*TblTech[[#This Row],[4-5]])</f>
        <v>375</v>
      </c>
      <c r="AE85" s="113">
        <f ca="1">OFFSET(TblConstr[[#This Row],[Tot OM]],1,0)*om_ore+IF(race="Dwarf",ROUNDDOWN(TblMili[[#This Row],[Unit 2]]/2,0),)</f>
        <v>1800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885.6</v>
      </c>
      <c r="AP85" s="113">
        <f ca="1">(1+race_food_consumption)*TblPop[[#This Row],[Total]]*food_per_person*(1+tech_1_10*TblTech[[#This Row],[1-10]]+tech_7_5*TblTech[[#This Row],[7-5]])</f>
        <v>2490.75</v>
      </c>
      <c r="AQ85" s="113">
        <f ca="1">TblProd[[#This Row],[Lumber]]*lumber_rot * (1 + tech_2_1*TblTech[[#This Row],[2-1]] + tech_2_8*TblTech[[#This Row],[2-8]] + tech_5_2*TblTech[[#This Row],[5-2]])</f>
        <v>400.17</v>
      </c>
      <c r="AR85" s="113">
        <f ca="1">TblProd[[#This Row],[Mana]]*mana_drain * (1 + tech_2_1*TblTech[[#This Row],[2-1]] + tech_2_8*TblTech[[#This Row],[2-8]])</f>
        <v>121.11</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44408.124999999804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616676</v>
      </c>
      <c r="BJ85" s="113">
        <f ca="1">TblProd[[#This Row],[Food]]</f>
        <v>88560</v>
      </c>
      <c r="BK85" s="113">
        <f ca="1">TblProd[[#This Row],[Lumber]]</f>
        <v>40017</v>
      </c>
      <c r="BL85" s="113">
        <f ca="1">TblProd[[#This Row],[Mana]]</f>
        <v>6055.5</v>
      </c>
      <c r="BM85" s="113">
        <f ca="1">TblProd[[#This Row],[Ore]]</f>
        <v>35390</v>
      </c>
    </row>
    <row r="86" spans="1:65" x14ac:dyDescent="0.2">
      <c r="A86" s="178">
        <v>11</v>
      </c>
      <c r="B86" s="198">
        <f ca="1">TblImps[[#This Row],[Time]]</f>
        <v>44408.166666666468</v>
      </c>
      <c r="C86" s="199"/>
      <c r="D86" s="200"/>
      <c r="E86" s="113">
        <f ca="1">TblConstr[[#This Row],[Land]]</f>
        <v>600</v>
      </c>
      <c r="F86" s="113">
        <f ca="1">TblPop[[#This Row],[Peasants]]</f>
        <v>6677</v>
      </c>
      <c r="G86" s="113">
        <f ca="1">TblMili[[#This Row],[Networth (2)]]</f>
        <v>29507.5</v>
      </c>
      <c r="H86" s="113">
        <f ca="1">OFFSET(TblProd[[#This Row],[Platinum]],-1,0)+OFFSET(TblProd[[#This Row],[Plat/hr]],-1,0) - TblProd[[#This Row],[Expenses Platinum]] + IF(TblProd[[#This Row],[Plat Bonus]],TblPop[[#This Row],[Peasants]]*4) + SUM(TblConstr[[#This Row],[Dest Hom]:[Dest Doc]])*TblConstr[[#This Row],[CPA Platinum -DB]]*tech_3_3_2*TblTech[[#This Row],[3-3]]</f>
        <v>646764</v>
      </c>
      <c r="I86" s="113">
        <f ca="1">OFFSET(TblProd[[#This Row],[Food]],-1,0)+OFFSET(TblProd[[#This Row],[Food/hr]],-1,0)+ROUNDUP((TblConstr[[#This Row],[Farms]]*80+TblConstr[[#This Row],[Docks]]*35)*(1+OFFSET(TblProd[[#This Row],[Bonus Food/hr]],-1,0)),0)</f>
        <v>88516</v>
      </c>
      <c r="J86" s="113">
        <f ca="1">OFFSET(TblProd[[#This Row],[Lumber]],-1,0)+OFFSET(TblProd[[#This Row],[Lumber/hr]],-1,0) - TblProd[[#This Row],[Expenses Lumber]] + SUM(TblConstr[[#This Row],[Dest Hom]:[Dest Doc]])*TblConstr[[#This Row],[CPA Lumber -DB]]*tech_3_3_2*TblTech[[#This Row],[3-3]]</f>
        <v>40617</v>
      </c>
      <c r="K86" s="113">
        <f ca="1">OFFSET(TblProd[[#This Row],[Mana]],-1,0)+OFFSET(TblProd[[#This Row],[Mana/hr]],-1,0)- TblProd[[#This Row],[Expenses Mana]]</f>
        <v>6309.5</v>
      </c>
      <c r="L86" s="113">
        <f ca="1">OFFSET(TblProd[[#This Row],[Ore]],-1,0)+OFFSET(TblProd[[#This Row],[Ore/hr]],-1,0) -TblProd[[#This Row],[Expenses Ore]]</f>
        <v>37190</v>
      </c>
      <c r="M86" s="113">
        <f ca="1">OFFSET(TblProd[[#This Row],[Gems]],-1,0)+OFFSET(TblProd[[#This Row],[Gems/hr]],-1,0) - TblProd[[#This Row],[Expenses Gems]]</f>
        <v>0</v>
      </c>
      <c r="N86" s="113">
        <f ca="1">OFFSET(TblProd[[#This Row],[Boats]],-1,0)+OFFSET(TblProd[[#This Row],[Boats/hr]],-1,0)</f>
        <v>59</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2250</v>
      </c>
      <c r="Q86" s="113">
        <v>10000</v>
      </c>
      <c r="R86" s="184"/>
      <c r="S86" s="113">
        <f ca="1">ROUNDDOWN(TblProd[[#This Row],[Raw Plat/hr]]*(1+TblProd[[#This Row],[Bonus Plat/hr]]),0)</f>
        <v>29907</v>
      </c>
      <c r="T86" s="113">
        <f ca="1">ROUND(TblProd[[#This Row],[Raw Food/hr]]*(1+TblProd[[#This Row],[Bonus Food/hr]])-TblProd[[#This Row],[Food decay]]-TblProd[[#This Row],[Food eaten]],0)</f>
        <v>-43</v>
      </c>
      <c r="U86" s="113">
        <f ca="1">ROUND(TblProd[[#This Row],[Raw Lumber/hr]]*(1+TblProd[[#This Row],[Bonus Lumber/hr]])-TblProd[[#This Row],[Lumber rot]],0)</f>
        <v>594</v>
      </c>
      <c r="V86" s="113">
        <f ca="1">ROUND(TblProd[[#This Row],[Raw Mana/hr]]*(1+TblProd[[#This Row],[Bonus Mana/hr]])-TblProd[[#This Row],[Mana drain]],0)</f>
        <v>249</v>
      </c>
      <c r="W86" s="113">
        <f ca="1">ROUNDDOWN(TblProd[[#This Row],[Raw Ore/hr]]*(1+TblProd[[#This Row],[Bonux Ore/hr]]),0)</f>
        <v>1800</v>
      </c>
      <c r="X86" s="113">
        <f ca="1">ROUNDDOWN(TblProd[[#This Row],[Raw Gems/hr]]*(1+TblProd[[#This Row],[Bonus Gems/hr]]),0)</f>
        <v>0</v>
      </c>
      <c r="Y86" s="201">
        <f ca="1">OFFSET(TblConstr[[#This Row],[Tot Doc]],1,0)*dock_boats_hr * (1 + tech_4_1*TblTech[[#This Row],[4-1]])</f>
        <v>1</v>
      </c>
      <c r="Z86" s="200"/>
      <c r="AA86" s="113">
        <f ca="1">TblPop[[#This Row],[Peasants]]*tax*TblPop[[#This Row],[Employment]] + (Construction!AZ87+Construction!BX87)*(alch_plat+(Magic!AL86&gt;0)*alchemist_flame_bonus)</f>
        <v>29907.9</v>
      </c>
      <c r="AB86" s="113">
        <f ca="1">TblConstr[[#This Row],[Tot Farm]]*farm_food + TblConstr[[#This Row],[Tot Doc]]*dock_food</f>
        <v>3100</v>
      </c>
      <c r="AC86" s="113">
        <f ca="1">TblConstr[[#This Row],[Tot Ly]]*ly_lumber + TblConstr[[#This Row],[Tot Hav]]*fh_lumber</f>
        <v>1000</v>
      </c>
      <c r="AD86" s="113">
        <f ca="1">OFFSET(TblConstr[[#This Row],[Tot Tow]],1,0)*(tower_mana + tech_4_5*TblTech[[#This Row],[4-5]])</f>
        <v>375</v>
      </c>
      <c r="AE86" s="113">
        <f ca="1">OFFSET(TblConstr[[#This Row],[Tot OM]],1,0)*om_ore+IF(race="Dwarf",ROUNDDOWN(TblMili[[#This Row],[Unit 2]]/2,0),)</f>
        <v>1800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885.16</v>
      </c>
      <c r="AP86" s="113">
        <f ca="1">(1+race_food_consumption)*TblPop[[#This Row],[Total]]*food_per_person*(1+tech_1_10*TblTech[[#This Row],[1-10]]+tech_7_5*TblTech[[#This Row],[7-5]])</f>
        <v>2490.75</v>
      </c>
      <c r="AQ86" s="113">
        <f ca="1">TblProd[[#This Row],[Lumber]]*lumber_rot * (1 + tech_2_1*TblTech[[#This Row],[2-1]] + tech_2_8*TblTech[[#This Row],[2-8]] + tech_5_2*TblTech[[#This Row],[5-2]])</f>
        <v>406.17</v>
      </c>
      <c r="AR86" s="113">
        <f ca="1">TblProd[[#This Row],[Mana]]*mana_drain * (1 + tech_2_1*TblTech[[#This Row],[2-1]] + tech_2_8*TblTech[[#This Row],[2-8]])</f>
        <v>126.19</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44408.166666666468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646764</v>
      </c>
      <c r="BJ86" s="113">
        <f ca="1">TblProd[[#This Row],[Food]]</f>
        <v>88516</v>
      </c>
      <c r="BK86" s="113">
        <f ca="1">TblProd[[#This Row],[Lumber]]</f>
        <v>40617</v>
      </c>
      <c r="BL86" s="113">
        <f ca="1">TblProd[[#This Row],[Mana]]</f>
        <v>6309.5</v>
      </c>
      <c r="BM86" s="113">
        <f ca="1">TblProd[[#This Row],[Ore]]</f>
        <v>37190</v>
      </c>
    </row>
    <row r="87" spans="1:65" x14ac:dyDescent="0.2">
      <c r="A87" s="178">
        <v>12</v>
      </c>
      <c r="B87" s="198">
        <f ca="1">TblImps[[#This Row],[Time]]</f>
        <v>44408.208333333132</v>
      </c>
      <c r="C87" s="199"/>
      <c r="D87" s="200"/>
      <c r="E87" s="113">
        <f ca="1">TblConstr[[#This Row],[Land]]</f>
        <v>600</v>
      </c>
      <c r="F87" s="113">
        <f ca="1">TblPop[[#This Row],[Peasants]]</f>
        <v>6610</v>
      </c>
      <c r="G87" s="113">
        <f ca="1">TblMili[[#This Row],[Networth (2)]]</f>
        <v>29507.5</v>
      </c>
      <c r="H87" s="113">
        <f ca="1">OFFSET(TblProd[[#This Row],[Platinum]],-1,0)+OFFSET(TblProd[[#This Row],[Plat/hr]],-1,0) - TblProd[[#This Row],[Expenses Platinum]] + IF(TblProd[[#This Row],[Plat Bonus]],TblPop[[#This Row],[Peasants]]*4) + SUM(TblConstr[[#This Row],[Dest Hom]:[Dest Doc]])*TblConstr[[#This Row],[CPA Platinum -DB]]*tech_3_3_2*TblTech[[#This Row],[3-3]]</f>
        <v>676671</v>
      </c>
      <c r="I87" s="113">
        <f ca="1">OFFSET(TblProd[[#This Row],[Food]],-1,0)+OFFSET(TblProd[[#This Row],[Food/hr]],-1,0)+ROUNDUP((TblConstr[[#This Row],[Farms]]*80+TblConstr[[#This Row],[Docks]]*35)*(1+OFFSET(TblProd[[#This Row],[Bonus Food/hr]],-1,0)),0)</f>
        <v>88473</v>
      </c>
      <c r="J87" s="113">
        <f ca="1">OFFSET(TblProd[[#This Row],[Lumber]],-1,0)+OFFSET(TblProd[[#This Row],[Lumber/hr]],-1,0) - TblProd[[#This Row],[Expenses Lumber]] + SUM(TblConstr[[#This Row],[Dest Hom]:[Dest Doc]])*TblConstr[[#This Row],[CPA Lumber -DB]]*tech_3_3_2*TblTech[[#This Row],[3-3]]</f>
        <v>41211</v>
      </c>
      <c r="K87" s="113">
        <f ca="1">OFFSET(TblProd[[#This Row],[Mana]],-1,0)+OFFSET(TblProd[[#This Row],[Mana/hr]],-1,0)- TblProd[[#This Row],[Expenses Mana]]</f>
        <v>6558.5</v>
      </c>
      <c r="L87" s="113">
        <f ca="1">OFFSET(TblProd[[#This Row],[Ore]],-1,0)+OFFSET(TblProd[[#This Row],[Ore/hr]],-1,0) -TblProd[[#This Row],[Expenses Ore]]</f>
        <v>38990</v>
      </c>
      <c r="M87" s="113">
        <f ca="1">OFFSET(TblProd[[#This Row],[Gems]],-1,0)+OFFSET(TblProd[[#This Row],[Gems/hr]],-1,0) - TblProd[[#This Row],[Expenses Gems]]</f>
        <v>0</v>
      </c>
      <c r="N87" s="113">
        <f ca="1">OFFSET(TblProd[[#This Row],[Boats]],-1,0)+OFFSET(TblProd[[#This Row],[Boats/hr]],-1,0)</f>
        <v>60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2250</v>
      </c>
      <c r="Q87" s="113">
        <v>10000</v>
      </c>
      <c r="R87" s="184"/>
      <c r="S87" s="113">
        <f ca="1">ROUNDDOWN(TblProd[[#This Row],[Raw Plat/hr]]*(1+TblProd[[#This Row],[Bonus Plat/hr]]),0)</f>
        <v>29727</v>
      </c>
      <c r="T87" s="113">
        <f ca="1">ROUND(TblProd[[#This Row],[Raw Food/hr]]*(1+TblProd[[#This Row],[Bonus Food/hr]])-TblProd[[#This Row],[Food decay]]-TblProd[[#This Row],[Food eaten]],0)</f>
        <v>-43</v>
      </c>
      <c r="U87" s="113">
        <f ca="1">ROUND(TblProd[[#This Row],[Raw Lumber/hr]]*(1+TblProd[[#This Row],[Bonus Lumber/hr]])-TblProd[[#This Row],[Lumber rot]],0)</f>
        <v>588</v>
      </c>
      <c r="V87" s="113">
        <f ca="1">ROUND(TblProd[[#This Row],[Raw Mana/hr]]*(1+TblProd[[#This Row],[Bonus Mana/hr]])-TblProd[[#This Row],[Mana drain]],0)</f>
        <v>244</v>
      </c>
      <c r="W87" s="113">
        <f ca="1">ROUNDDOWN(TblProd[[#This Row],[Raw Ore/hr]]*(1+TblProd[[#This Row],[Bonux Ore/hr]]),0)</f>
        <v>1800</v>
      </c>
      <c r="X87" s="113">
        <f ca="1">ROUNDDOWN(TblProd[[#This Row],[Raw Gems/hr]]*(1+TblProd[[#This Row],[Bonus Gems/hr]]),0)</f>
        <v>0</v>
      </c>
      <c r="Y87" s="201">
        <f ca="1">OFFSET(TblConstr[[#This Row],[Tot Doc]],1,0)*dock_boats_hr * (1 + tech_4_1*TblTech[[#This Row],[4-1]])</f>
        <v>1</v>
      </c>
      <c r="Z87" s="200"/>
      <c r="AA87" s="113">
        <f ca="1">TblPop[[#This Row],[Peasants]]*tax*TblPop[[#This Row],[Employment]] + (Construction!AZ88+Construction!BX88)*(alch_plat+(Magic!AL87&gt;0)*alchemist_flame_bonus)</f>
        <v>29727</v>
      </c>
      <c r="AB87" s="113">
        <f ca="1">TblConstr[[#This Row],[Tot Farm]]*farm_food + TblConstr[[#This Row],[Tot Doc]]*dock_food</f>
        <v>3100</v>
      </c>
      <c r="AC87" s="113">
        <f ca="1">TblConstr[[#This Row],[Tot Ly]]*ly_lumber + TblConstr[[#This Row],[Tot Hav]]*fh_lumber</f>
        <v>1000</v>
      </c>
      <c r="AD87" s="113">
        <f ca="1">OFFSET(TblConstr[[#This Row],[Tot Tow]],1,0)*(tower_mana + tech_4_5*TblTech[[#This Row],[4-5]])</f>
        <v>375</v>
      </c>
      <c r="AE87" s="113">
        <f ca="1">OFFSET(TblConstr[[#This Row],[Tot OM]],1,0)*om_ore+IF(race="Dwarf",ROUNDDOWN(TblMili[[#This Row],[Unit 2]]/2,0),)</f>
        <v>1800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884.73</v>
      </c>
      <c r="AP87" s="113">
        <f ca="1">(1+race_food_consumption)*TblPop[[#This Row],[Total]]*food_per_person*(1+tech_1_10*TblTech[[#This Row],[1-10]]+tech_7_5*TblTech[[#This Row],[7-5]])</f>
        <v>2490.75</v>
      </c>
      <c r="AQ87" s="113">
        <f ca="1">TblProd[[#This Row],[Lumber]]*lumber_rot * (1 + tech_2_1*TblTech[[#This Row],[2-1]] + tech_2_8*TblTech[[#This Row],[2-8]] + tech_5_2*TblTech[[#This Row],[5-2]])</f>
        <v>412.11</v>
      </c>
      <c r="AR87" s="113">
        <f ca="1">TblProd[[#This Row],[Mana]]*mana_drain * (1 + tech_2_1*TblTech[[#This Row],[2-1]] + tech_2_8*TblTech[[#This Row],[2-8]])</f>
        <v>131.17000000000002</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44408.208333333132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676671</v>
      </c>
      <c r="BJ87" s="113">
        <f ca="1">TblProd[[#This Row],[Food]]</f>
        <v>88473</v>
      </c>
      <c r="BK87" s="113">
        <f ca="1">TblProd[[#This Row],[Lumber]]</f>
        <v>41211</v>
      </c>
      <c r="BL87" s="113">
        <f ca="1">TblProd[[#This Row],[Mana]]</f>
        <v>6558.5</v>
      </c>
      <c r="BM87" s="113">
        <f ca="1">TblProd[[#This Row],[Ore]]</f>
        <v>38990</v>
      </c>
    </row>
    <row r="88" spans="1:65" x14ac:dyDescent="0.2">
      <c r="A88" s="178">
        <v>13</v>
      </c>
      <c r="B88" s="198">
        <f ca="1">TblImps[[#This Row],[Time]]</f>
        <v>44408.249999999796</v>
      </c>
      <c r="C88" s="199"/>
      <c r="D88" s="200"/>
      <c r="E88" s="113">
        <f ca="1">TblConstr[[#This Row],[Land]]</f>
        <v>600</v>
      </c>
      <c r="F88" s="113">
        <f ca="1">TblPop[[#This Row],[Peasants]]</f>
        <v>6544</v>
      </c>
      <c r="G88" s="113">
        <f ca="1">TblMili[[#This Row],[Networth (2)]]</f>
        <v>29507.5</v>
      </c>
      <c r="H88" s="113">
        <f ca="1">OFFSET(TblProd[[#This Row],[Platinum]],-1,0)+OFFSET(TblProd[[#This Row],[Plat/hr]],-1,0) - TblProd[[#This Row],[Expenses Platinum]] + IF(TblProd[[#This Row],[Plat Bonus]],TblPop[[#This Row],[Peasants]]*4) + SUM(TblConstr[[#This Row],[Dest Hom]:[Dest Doc]])*TblConstr[[#This Row],[CPA Platinum -DB]]*tech_3_3_2*TblTech[[#This Row],[3-3]]</f>
        <v>706398</v>
      </c>
      <c r="I88" s="113">
        <f ca="1">OFFSET(TblProd[[#This Row],[Food]],-1,0)+OFFSET(TblProd[[#This Row],[Food/hr]],-1,0)+ROUNDUP((TblConstr[[#This Row],[Farms]]*80+TblConstr[[#This Row],[Docks]]*35)*(1+OFFSET(TblProd[[#This Row],[Bonus Food/hr]],-1,0)),0)</f>
        <v>88430</v>
      </c>
      <c r="J88" s="113">
        <f ca="1">OFFSET(TblProd[[#This Row],[Lumber]],-1,0)+OFFSET(TblProd[[#This Row],[Lumber/hr]],-1,0) - TblProd[[#This Row],[Expenses Lumber]] + SUM(TblConstr[[#This Row],[Dest Hom]:[Dest Doc]])*TblConstr[[#This Row],[CPA Lumber -DB]]*tech_3_3_2*TblTech[[#This Row],[3-3]]</f>
        <v>41799</v>
      </c>
      <c r="K88" s="113">
        <f ca="1">OFFSET(TblProd[[#This Row],[Mana]],-1,0)+OFFSET(TblProd[[#This Row],[Mana/hr]],-1,0)- TblProd[[#This Row],[Expenses Mana]]</f>
        <v>6802.5</v>
      </c>
      <c r="L88" s="113">
        <f ca="1">OFFSET(TblProd[[#This Row],[Ore]],-1,0)+OFFSET(TblProd[[#This Row],[Ore/hr]],-1,0) -TblProd[[#This Row],[Expenses Ore]]</f>
        <v>40790</v>
      </c>
      <c r="M88" s="113">
        <f ca="1">OFFSET(TblProd[[#This Row],[Gems]],-1,0)+OFFSET(TblProd[[#This Row],[Gems/hr]],-1,0) - TblProd[[#This Row],[Expenses Gems]]</f>
        <v>0</v>
      </c>
      <c r="N88" s="113">
        <f ca="1">OFFSET(TblProd[[#This Row],[Boats]],-1,0)+OFFSET(TblProd[[#This Row],[Boats/hr]],-1,0)</f>
        <v>61</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2250</v>
      </c>
      <c r="Q88" s="113">
        <v>10000</v>
      </c>
      <c r="R88" s="184"/>
      <c r="S88" s="113">
        <f ca="1">ROUNDDOWN(TblProd[[#This Row],[Raw Plat/hr]]*(1+TblProd[[#This Row],[Bonus Plat/hr]]),0)</f>
        <v>29548</v>
      </c>
      <c r="T88" s="113">
        <f ca="1">ROUND(TblProd[[#This Row],[Raw Food/hr]]*(1+TblProd[[#This Row],[Bonus Food/hr]])-TblProd[[#This Row],[Food decay]]-TblProd[[#This Row],[Food eaten]],0)</f>
        <v>-43</v>
      </c>
      <c r="U88" s="113">
        <f ca="1">ROUND(TblProd[[#This Row],[Raw Lumber/hr]]*(1+TblProd[[#This Row],[Bonus Lumber/hr]])-TblProd[[#This Row],[Lumber rot]],0)</f>
        <v>582</v>
      </c>
      <c r="V88" s="113">
        <f ca="1">ROUND(TblProd[[#This Row],[Raw Mana/hr]]*(1+TblProd[[#This Row],[Bonus Mana/hr]])-TblProd[[#This Row],[Mana drain]],0)</f>
        <v>239</v>
      </c>
      <c r="W88" s="113">
        <f ca="1">ROUNDDOWN(TblProd[[#This Row],[Raw Ore/hr]]*(1+TblProd[[#This Row],[Bonux Ore/hr]]),0)</f>
        <v>1800</v>
      </c>
      <c r="X88" s="113">
        <f ca="1">ROUNDDOWN(TblProd[[#This Row],[Raw Gems/hr]]*(1+TblProd[[#This Row],[Bonus Gems/hr]]),0)</f>
        <v>0</v>
      </c>
      <c r="Y88" s="201">
        <f ca="1">OFFSET(TblConstr[[#This Row],[Tot Doc]],1,0)*dock_boats_hr * (1 + tech_4_1*TblTech[[#This Row],[4-1]])</f>
        <v>1</v>
      </c>
      <c r="Z88" s="200"/>
      <c r="AA88" s="113">
        <f ca="1">TblPop[[#This Row],[Peasants]]*tax*TblPop[[#This Row],[Employment]] + (Construction!AZ89+Construction!BX89)*(alch_plat+(Magic!AL88&gt;0)*alchemist_flame_bonus)</f>
        <v>29548.800000000003</v>
      </c>
      <c r="AB88" s="113">
        <f ca="1">TblConstr[[#This Row],[Tot Farm]]*farm_food + TblConstr[[#This Row],[Tot Doc]]*dock_food</f>
        <v>3100</v>
      </c>
      <c r="AC88" s="113">
        <f ca="1">TblConstr[[#This Row],[Tot Ly]]*ly_lumber + TblConstr[[#This Row],[Tot Hav]]*fh_lumber</f>
        <v>1000</v>
      </c>
      <c r="AD88" s="113">
        <f ca="1">OFFSET(TblConstr[[#This Row],[Tot Tow]],1,0)*(tower_mana + tech_4_5*TblTech[[#This Row],[4-5]])</f>
        <v>375</v>
      </c>
      <c r="AE88" s="113">
        <f ca="1">OFFSET(TblConstr[[#This Row],[Tot OM]],1,0)*om_ore+IF(race="Dwarf",ROUNDDOWN(TblMili[[#This Row],[Unit 2]]/2,0),)</f>
        <v>1800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884.30000000000007</v>
      </c>
      <c r="AP88" s="113">
        <f ca="1">(1+race_food_consumption)*TblPop[[#This Row],[Total]]*food_per_person*(1+tech_1_10*TblTech[[#This Row],[1-10]]+tech_7_5*TblTech[[#This Row],[7-5]])</f>
        <v>2490.75</v>
      </c>
      <c r="AQ88" s="113">
        <f ca="1">TblProd[[#This Row],[Lumber]]*lumber_rot * (1 + tech_2_1*TblTech[[#This Row],[2-1]] + tech_2_8*TblTech[[#This Row],[2-8]] + tech_5_2*TblTech[[#This Row],[5-2]])</f>
        <v>417.99</v>
      </c>
      <c r="AR88" s="113">
        <f ca="1">TblProd[[#This Row],[Mana]]*mana_drain * (1 + tech_2_1*TblTech[[#This Row],[2-1]] + tech_2_8*TblTech[[#This Row],[2-8]])</f>
        <v>136.05000000000001</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44408.249999999796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706398</v>
      </c>
      <c r="BJ88" s="113">
        <f ca="1">TblProd[[#This Row],[Food]]</f>
        <v>88430</v>
      </c>
      <c r="BK88" s="113">
        <f ca="1">TblProd[[#This Row],[Lumber]]</f>
        <v>41799</v>
      </c>
      <c r="BL88" s="113">
        <f ca="1">TblProd[[#This Row],[Mana]]</f>
        <v>6802.5</v>
      </c>
      <c r="BM88" s="113">
        <f ca="1">TblProd[[#This Row],[Ore]]</f>
        <v>40790</v>
      </c>
    </row>
    <row r="89" spans="1:65" x14ac:dyDescent="0.2">
      <c r="A89" s="178">
        <v>14</v>
      </c>
      <c r="B89" s="198">
        <f ca="1">TblImps[[#This Row],[Time]]</f>
        <v>44408.291666666461</v>
      </c>
      <c r="C89" s="199"/>
      <c r="D89" s="200"/>
      <c r="E89" s="113">
        <f ca="1">TblConstr[[#This Row],[Land]]</f>
        <v>600</v>
      </c>
      <c r="F89" s="113">
        <f ca="1">TblPop[[#This Row],[Peasants]]</f>
        <v>6479</v>
      </c>
      <c r="G89" s="113">
        <f ca="1">TblMili[[#This Row],[Networth (2)]]</f>
        <v>29507.5</v>
      </c>
      <c r="H89" s="113">
        <f ca="1">OFFSET(TblProd[[#This Row],[Platinum]],-1,0)+OFFSET(TblProd[[#This Row],[Plat/hr]],-1,0) - TblProd[[#This Row],[Expenses Platinum]] + IF(TblProd[[#This Row],[Plat Bonus]],TblPop[[#This Row],[Peasants]]*4) + SUM(TblConstr[[#This Row],[Dest Hom]:[Dest Doc]])*TblConstr[[#This Row],[CPA Platinum -DB]]*tech_3_3_2*TblTech[[#This Row],[3-3]]</f>
        <v>735946</v>
      </c>
      <c r="I89" s="113">
        <f ca="1">OFFSET(TblProd[[#This Row],[Food]],-1,0)+OFFSET(TblProd[[#This Row],[Food/hr]],-1,0)+ROUNDUP((TblConstr[[#This Row],[Farms]]*80+TblConstr[[#This Row],[Docks]]*35)*(1+OFFSET(TblProd[[#This Row],[Bonus Food/hr]],-1,0)),0)</f>
        <v>88387</v>
      </c>
      <c r="J89" s="113">
        <f ca="1">OFFSET(TblProd[[#This Row],[Lumber]],-1,0)+OFFSET(TblProd[[#This Row],[Lumber/hr]],-1,0) - TblProd[[#This Row],[Expenses Lumber]] + SUM(TblConstr[[#This Row],[Dest Hom]:[Dest Doc]])*TblConstr[[#This Row],[CPA Lumber -DB]]*tech_3_3_2*TblTech[[#This Row],[3-3]]</f>
        <v>42381</v>
      </c>
      <c r="K89" s="113">
        <f ca="1">OFFSET(TblProd[[#This Row],[Mana]],-1,0)+OFFSET(TblProd[[#This Row],[Mana/hr]],-1,0)- TblProd[[#This Row],[Expenses Mana]]</f>
        <v>7041.5</v>
      </c>
      <c r="L89" s="113">
        <f ca="1">OFFSET(TblProd[[#This Row],[Ore]],-1,0)+OFFSET(TblProd[[#This Row],[Ore/hr]],-1,0) -TblProd[[#This Row],[Expenses Ore]]</f>
        <v>42590</v>
      </c>
      <c r="M89" s="113">
        <f ca="1">OFFSET(TblProd[[#This Row],[Gems]],-1,0)+OFFSET(TblProd[[#This Row],[Gems/hr]],-1,0) - TblProd[[#This Row],[Expenses Gems]]</f>
        <v>0</v>
      </c>
      <c r="N89" s="113">
        <f ca="1">OFFSET(TblProd[[#This Row],[Boats]],-1,0)+OFFSET(TblProd[[#This Row],[Boats/hr]],-1,0)</f>
        <v>62</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2250</v>
      </c>
      <c r="Q89" s="113">
        <v>10000</v>
      </c>
      <c r="R89" s="184"/>
      <c r="S89" s="113">
        <f ca="1">ROUNDDOWN(TblProd[[#This Row],[Raw Plat/hr]]*(1+TblProd[[#This Row],[Bonus Plat/hr]]),0)</f>
        <v>29373</v>
      </c>
      <c r="T89" s="113">
        <f ca="1">ROUND(TblProd[[#This Row],[Raw Food/hr]]*(1+TblProd[[#This Row],[Bonus Food/hr]])-TblProd[[#This Row],[Food decay]]-TblProd[[#This Row],[Food eaten]],0)</f>
        <v>-42</v>
      </c>
      <c r="U89" s="113">
        <f ca="1">ROUND(TblProd[[#This Row],[Raw Lumber/hr]]*(1+TblProd[[#This Row],[Bonus Lumber/hr]])-TblProd[[#This Row],[Lumber rot]],0)</f>
        <v>576</v>
      </c>
      <c r="V89" s="113">
        <f ca="1">ROUND(TblProd[[#This Row],[Raw Mana/hr]]*(1+TblProd[[#This Row],[Bonus Mana/hr]])-TblProd[[#This Row],[Mana drain]],0)</f>
        <v>234</v>
      </c>
      <c r="W89" s="113">
        <f ca="1">ROUNDDOWN(TblProd[[#This Row],[Raw Ore/hr]]*(1+TblProd[[#This Row],[Bonux Ore/hr]]),0)</f>
        <v>1800</v>
      </c>
      <c r="X89" s="113">
        <f ca="1">ROUNDDOWN(TblProd[[#This Row],[Raw Gems/hr]]*(1+TblProd[[#This Row],[Bonus Gems/hr]]),0)</f>
        <v>0</v>
      </c>
      <c r="Y89" s="201">
        <f ca="1">OFFSET(TblConstr[[#This Row],[Tot Doc]],1,0)*dock_boats_hr * (1 + tech_4_1*TblTech[[#This Row],[4-1]])</f>
        <v>1</v>
      </c>
      <c r="Z89" s="200"/>
      <c r="AA89" s="113">
        <f ca="1">TblPop[[#This Row],[Peasants]]*tax*TblPop[[#This Row],[Employment]] + (Construction!AZ90+Construction!BX90)*(alch_plat+(Magic!AL89&gt;0)*alchemist_flame_bonus)</f>
        <v>29373.300000000003</v>
      </c>
      <c r="AB89" s="113">
        <f ca="1">TblConstr[[#This Row],[Tot Farm]]*farm_food + TblConstr[[#This Row],[Tot Doc]]*dock_food</f>
        <v>3100</v>
      </c>
      <c r="AC89" s="113">
        <f ca="1">TblConstr[[#This Row],[Tot Ly]]*ly_lumber + TblConstr[[#This Row],[Tot Hav]]*fh_lumber</f>
        <v>1000</v>
      </c>
      <c r="AD89" s="113">
        <f ca="1">OFFSET(TblConstr[[#This Row],[Tot Tow]],1,0)*(tower_mana + tech_4_5*TblTech[[#This Row],[4-5]])</f>
        <v>375</v>
      </c>
      <c r="AE89" s="113">
        <f ca="1">OFFSET(TblConstr[[#This Row],[Tot OM]],1,0)*om_ore+IF(race="Dwarf",ROUNDDOWN(TblMili[[#This Row],[Unit 2]]/2,0),)</f>
        <v>1800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883.87</v>
      </c>
      <c r="AP89" s="113">
        <f ca="1">(1+race_food_consumption)*TblPop[[#This Row],[Total]]*food_per_person*(1+tech_1_10*TblTech[[#This Row],[1-10]]+tech_7_5*TblTech[[#This Row],[7-5]])</f>
        <v>2490.75</v>
      </c>
      <c r="AQ89" s="113">
        <f ca="1">TblProd[[#This Row],[Lumber]]*lumber_rot * (1 + tech_2_1*TblTech[[#This Row],[2-1]] + tech_2_8*TblTech[[#This Row],[2-8]] + tech_5_2*TblTech[[#This Row],[5-2]])</f>
        <v>423.81</v>
      </c>
      <c r="AR89" s="113">
        <f ca="1">TblProd[[#This Row],[Mana]]*mana_drain * (1 + tech_2_1*TblTech[[#This Row],[2-1]] + tech_2_8*TblTech[[#This Row],[2-8]])</f>
        <v>140.83000000000001</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44408.291666666461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735946</v>
      </c>
      <c r="BJ89" s="113">
        <f ca="1">TblProd[[#This Row],[Food]]</f>
        <v>88387</v>
      </c>
      <c r="BK89" s="113">
        <f ca="1">TblProd[[#This Row],[Lumber]]</f>
        <v>42381</v>
      </c>
      <c r="BL89" s="113">
        <f ca="1">TblProd[[#This Row],[Mana]]</f>
        <v>7041.5</v>
      </c>
      <c r="BM89" s="113">
        <f ca="1">TblProd[[#This Row],[Ore]]</f>
        <v>42590</v>
      </c>
    </row>
    <row r="90" spans="1:65" x14ac:dyDescent="0.2">
      <c r="A90" s="178">
        <v>15</v>
      </c>
      <c r="B90" s="198">
        <f ca="1">TblImps[[#This Row],[Time]]</f>
        <v>44408.333333333125</v>
      </c>
      <c r="C90" s="199"/>
      <c r="D90" s="200"/>
      <c r="E90" s="113">
        <f ca="1">TblConstr[[#This Row],[Land]]</f>
        <v>600</v>
      </c>
      <c r="F90" s="113">
        <f ca="1">TblPop[[#This Row],[Peasants]]</f>
        <v>6414</v>
      </c>
      <c r="G90" s="113">
        <f ca="1">TblMili[[#This Row],[Networth (2)]]</f>
        <v>29507.5</v>
      </c>
      <c r="H90" s="113">
        <f ca="1">OFFSET(TblProd[[#This Row],[Platinum]],-1,0)+OFFSET(TblProd[[#This Row],[Plat/hr]],-1,0) - TblProd[[#This Row],[Expenses Platinum]] + IF(TblProd[[#This Row],[Plat Bonus]],TblPop[[#This Row],[Peasants]]*4) + SUM(TblConstr[[#This Row],[Dest Hom]:[Dest Doc]])*TblConstr[[#This Row],[CPA Platinum -DB]]*tech_3_3_2*TblTech[[#This Row],[3-3]]</f>
        <v>765319</v>
      </c>
      <c r="I90" s="113">
        <f ca="1">OFFSET(TblProd[[#This Row],[Food]],-1,0)+OFFSET(TblProd[[#This Row],[Food/hr]],-1,0)+ROUNDUP((TblConstr[[#This Row],[Farms]]*80+TblConstr[[#This Row],[Docks]]*35)*(1+OFFSET(TblProd[[#This Row],[Bonus Food/hr]],-1,0)),0)</f>
        <v>88345</v>
      </c>
      <c r="J90" s="113">
        <f ca="1">OFFSET(TblProd[[#This Row],[Lumber]],-1,0)+OFFSET(TblProd[[#This Row],[Lumber/hr]],-1,0) - TblProd[[#This Row],[Expenses Lumber]] + SUM(TblConstr[[#This Row],[Dest Hom]:[Dest Doc]])*TblConstr[[#This Row],[CPA Lumber -DB]]*tech_3_3_2*TblTech[[#This Row],[3-3]]</f>
        <v>42957</v>
      </c>
      <c r="K90" s="113">
        <f ca="1">OFFSET(TblProd[[#This Row],[Mana]],-1,0)+OFFSET(TblProd[[#This Row],[Mana/hr]],-1,0)- TblProd[[#This Row],[Expenses Mana]]</f>
        <v>7275.5</v>
      </c>
      <c r="L90" s="113">
        <f ca="1">OFFSET(TblProd[[#This Row],[Ore]],-1,0)+OFFSET(TblProd[[#This Row],[Ore/hr]],-1,0) -TblProd[[#This Row],[Expenses Ore]]</f>
        <v>44390</v>
      </c>
      <c r="M90" s="113">
        <f ca="1">OFFSET(TblProd[[#This Row],[Gems]],-1,0)+OFFSET(TblProd[[#This Row],[Gems/hr]],-1,0) - TblProd[[#This Row],[Expenses Gems]]</f>
        <v>0</v>
      </c>
      <c r="N90" s="113">
        <f ca="1">OFFSET(TblProd[[#This Row],[Boats]],-1,0)+OFFSET(TblProd[[#This Row],[Boats/hr]],-1,0)</f>
        <v>63</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2250</v>
      </c>
      <c r="Q90" s="113">
        <v>10000</v>
      </c>
      <c r="R90" s="184"/>
      <c r="S90" s="113">
        <f ca="1">ROUNDDOWN(TblProd[[#This Row],[Raw Plat/hr]]*(1+TblProd[[#This Row],[Bonus Plat/hr]]),0)</f>
        <v>29197</v>
      </c>
      <c r="T90" s="113">
        <f ca="1">ROUND(TblProd[[#This Row],[Raw Food/hr]]*(1+TblProd[[#This Row],[Bonus Food/hr]])-TblProd[[#This Row],[Food decay]]-TblProd[[#This Row],[Food eaten]],0)</f>
        <v>-42</v>
      </c>
      <c r="U90" s="113">
        <f ca="1">ROUND(TblProd[[#This Row],[Raw Lumber/hr]]*(1+TblProd[[#This Row],[Bonus Lumber/hr]])-TblProd[[#This Row],[Lumber rot]],0)</f>
        <v>570</v>
      </c>
      <c r="V90" s="113">
        <f ca="1">ROUND(TblProd[[#This Row],[Raw Mana/hr]]*(1+TblProd[[#This Row],[Bonus Mana/hr]])-TblProd[[#This Row],[Mana drain]],0)</f>
        <v>229</v>
      </c>
      <c r="W90" s="113">
        <f ca="1">ROUNDDOWN(TblProd[[#This Row],[Raw Ore/hr]]*(1+TblProd[[#This Row],[Bonux Ore/hr]]),0)</f>
        <v>1800</v>
      </c>
      <c r="X90" s="113">
        <f ca="1">ROUNDDOWN(TblProd[[#This Row],[Raw Gems/hr]]*(1+TblProd[[#This Row],[Bonus Gems/hr]]),0)</f>
        <v>0</v>
      </c>
      <c r="Y90" s="201">
        <f ca="1">OFFSET(TblConstr[[#This Row],[Tot Doc]],1,0)*dock_boats_hr * (1 + tech_4_1*TblTech[[#This Row],[4-1]])</f>
        <v>1</v>
      </c>
      <c r="Z90" s="200"/>
      <c r="AA90" s="113">
        <f ca="1">TblPop[[#This Row],[Peasants]]*tax*TblPop[[#This Row],[Employment]] + (Construction!AZ91+Construction!BX91)*(alch_plat+(Magic!AL90&gt;0)*alchemist_flame_bonus)</f>
        <v>29197.800000000003</v>
      </c>
      <c r="AB90" s="113">
        <f ca="1">TblConstr[[#This Row],[Tot Farm]]*farm_food + TblConstr[[#This Row],[Tot Doc]]*dock_food</f>
        <v>3100</v>
      </c>
      <c r="AC90" s="113">
        <f ca="1">TblConstr[[#This Row],[Tot Ly]]*ly_lumber + TblConstr[[#This Row],[Tot Hav]]*fh_lumber</f>
        <v>1000</v>
      </c>
      <c r="AD90" s="113">
        <f ca="1">OFFSET(TblConstr[[#This Row],[Tot Tow]],1,0)*(tower_mana + tech_4_5*TblTech[[#This Row],[4-5]])</f>
        <v>375</v>
      </c>
      <c r="AE90" s="113">
        <f ca="1">OFFSET(TblConstr[[#This Row],[Tot OM]],1,0)*om_ore+IF(race="Dwarf",ROUNDDOWN(TblMili[[#This Row],[Unit 2]]/2,0),)</f>
        <v>1800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883.45</v>
      </c>
      <c r="AP90" s="113">
        <f ca="1">(1+race_food_consumption)*TblPop[[#This Row],[Total]]*food_per_person*(1+tech_1_10*TblTech[[#This Row],[1-10]]+tech_7_5*TblTech[[#This Row],[7-5]])</f>
        <v>2490.75</v>
      </c>
      <c r="AQ90" s="113">
        <f ca="1">TblProd[[#This Row],[Lumber]]*lumber_rot * (1 + tech_2_1*TblTech[[#This Row],[2-1]] + tech_2_8*TblTech[[#This Row],[2-8]] + tech_5_2*TblTech[[#This Row],[5-2]])</f>
        <v>429.57</v>
      </c>
      <c r="AR90" s="113">
        <f ca="1">TblProd[[#This Row],[Mana]]*mana_drain * (1 + tech_2_1*TblTech[[#This Row],[2-1]] + tech_2_8*TblTech[[#This Row],[2-8]])</f>
        <v>145.51</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44408.333333333125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765319</v>
      </c>
      <c r="BJ90" s="113">
        <f ca="1">TblProd[[#This Row],[Food]]</f>
        <v>88345</v>
      </c>
      <c r="BK90" s="113">
        <f ca="1">TblProd[[#This Row],[Lumber]]</f>
        <v>42957</v>
      </c>
      <c r="BL90" s="113">
        <f ca="1">TblProd[[#This Row],[Mana]]</f>
        <v>7275.5</v>
      </c>
      <c r="BM90" s="113">
        <f ca="1">TblProd[[#This Row],[Ore]]</f>
        <v>44390</v>
      </c>
    </row>
    <row r="91" spans="1:65" x14ac:dyDescent="0.2">
      <c r="A91" s="178">
        <v>16</v>
      </c>
      <c r="B91" s="198">
        <f ca="1">TblImps[[#This Row],[Time]]</f>
        <v>44408.374999999789</v>
      </c>
      <c r="C91" s="199"/>
      <c r="D91" s="200"/>
      <c r="E91" s="113">
        <f ca="1">TblConstr[[#This Row],[Land]]</f>
        <v>600</v>
      </c>
      <c r="F91" s="113">
        <f ca="1">TblPop[[#This Row],[Peasants]]</f>
        <v>6350</v>
      </c>
      <c r="G91" s="113">
        <f ca="1">TblMili[[#This Row],[Networth (2)]]</f>
        <v>29507.5</v>
      </c>
      <c r="H91" s="113">
        <f ca="1">OFFSET(TblProd[[#This Row],[Platinum]],-1,0)+OFFSET(TblProd[[#This Row],[Plat/hr]],-1,0) - TblProd[[#This Row],[Expenses Platinum]] + IF(TblProd[[#This Row],[Plat Bonus]],TblPop[[#This Row],[Peasants]]*4) + SUM(TblConstr[[#This Row],[Dest Hom]:[Dest Doc]])*TblConstr[[#This Row],[CPA Platinum -DB]]*tech_3_3_2*TblTech[[#This Row],[3-3]]</f>
        <v>794516</v>
      </c>
      <c r="I91" s="113">
        <f ca="1">OFFSET(TblProd[[#This Row],[Food]],-1,0)+OFFSET(TblProd[[#This Row],[Food/hr]],-1,0)+ROUNDUP((TblConstr[[#This Row],[Farms]]*80+TblConstr[[#This Row],[Docks]]*35)*(1+OFFSET(TblProd[[#This Row],[Bonus Food/hr]],-1,0)),0)</f>
        <v>88303</v>
      </c>
      <c r="J91" s="113">
        <f ca="1">OFFSET(TblProd[[#This Row],[Lumber]],-1,0)+OFFSET(TblProd[[#This Row],[Lumber/hr]],-1,0) - TblProd[[#This Row],[Expenses Lumber]] + SUM(TblConstr[[#This Row],[Dest Hom]:[Dest Doc]])*TblConstr[[#This Row],[CPA Lumber -DB]]*tech_3_3_2*TblTech[[#This Row],[3-3]]</f>
        <v>43527</v>
      </c>
      <c r="K91" s="113">
        <f ca="1">OFFSET(TblProd[[#This Row],[Mana]],-1,0)+OFFSET(TblProd[[#This Row],[Mana/hr]],-1,0)- TblProd[[#This Row],[Expenses Mana]]</f>
        <v>7504.5</v>
      </c>
      <c r="L91" s="113">
        <f ca="1">OFFSET(TblProd[[#This Row],[Ore]],-1,0)+OFFSET(TblProd[[#This Row],[Ore/hr]],-1,0) -TblProd[[#This Row],[Expenses Ore]]</f>
        <v>46190</v>
      </c>
      <c r="M91" s="113">
        <f ca="1">OFFSET(TblProd[[#This Row],[Gems]],-1,0)+OFFSET(TblProd[[#This Row],[Gems/hr]],-1,0) - TblProd[[#This Row],[Expenses Gems]]</f>
        <v>0</v>
      </c>
      <c r="N91" s="113">
        <f ca="1">OFFSET(TblProd[[#This Row],[Boats]],-1,0)+OFFSET(TblProd[[#This Row],[Boats/hr]],-1,0)</f>
        <v>64</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2250</v>
      </c>
      <c r="Q91" s="113">
        <v>10000</v>
      </c>
      <c r="R91" s="184"/>
      <c r="S91" s="113">
        <f ca="1">ROUNDDOWN(TblProd[[#This Row],[Raw Plat/hr]]*(1+TblProd[[#This Row],[Bonus Plat/hr]]),0)</f>
        <v>29025</v>
      </c>
      <c r="T91" s="113">
        <f ca="1">ROUND(TblProd[[#This Row],[Raw Food/hr]]*(1+TblProd[[#This Row],[Bonus Food/hr]])-TblProd[[#This Row],[Food decay]]-TblProd[[#This Row],[Food eaten]],0)</f>
        <v>-41</v>
      </c>
      <c r="U91" s="113">
        <f ca="1">ROUND(TblProd[[#This Row],[Raw Lumber/hr]]*(1+TblProd[[#This Row],[Bonus Lumber/hr]])-TblProd[[#This Row],[Lumber rot]],0)</f>
        <v>565</v>
      </c>
      <c r="V91" s="113">
        <f ca="1">ROUND(TblProd[[#This Row],[Raw Mana/hr]]*(1+TblProd[[#This Row],[Bonus Mana/hr]])-TblProd[[#This Row],[Mana drain]],0)</f>
        <v>225</v>
      </c>
      <c r="W91" s="113">
        <f ca="1">ROUNDDOWN(TblProd[[#This Row],[Raw Ore/hr]]*(1+TblProd[[#This Row],[Bonux Ore/hr]]),0)</f>
        <v>1800</v>
      </c>
      <c r="X91" s="113">
        <f ca="1">ROUNDDOWN(TblProd[[#This Row],[Raw Gems/hr]]*(1+TblProd[[#This Row],[Bonus Gems/hr]]),0)</f>
        <v>0</v>
      </c>
      <c r="Y91" s="201">
        <f ca="1">OFFSET(TblConstr[[#This Row],[Tot Doc]],1,0)*dock_boats_hr * (1 + tech_4_1*TblTech[[#This Row],[4-1]])</f>
        <v>1</v>
      </c>
      <c r="Z91" s="200"/>
      <c r="AA91" s="113">
        <f ca="1">TblPop[[#This Row],[Peasants]]*tax*TblPop[[#This Row],[Employment]] + (Construction!AZ92+Construction!BX92)*(alch_plat+(Magic!AL91&gt;0)*alchemist_flame_bonus)</f>
        <v>29025</v>
      </c>
      <c r="AB91" s="113">
        <f ca="1">TblConstr[[#This Row],[Tot Farm]]*farm_food + TblConstr[[#This Row],[Tot Doc]]*dock_food</f>
        <v>3100</v>
      </c>
      <c r="AC91" s="113">
        <f ca="1">TblConstr[[#This Row],[Tot Ly]]*ly_lumber + TblConstr[[#This Row],[Tot Hav]]*fh_lumber</f>
        <v>1000</v>
      </c>
      <c r="AD91" s="113">
        <f ca="1">OFFSET(TblConstr[[#This Row],[Tot Tow]],1,0)*(tower_mana + tech_4_5*TblTech[[#This Row],[4-5]])</f>
        <v>375</v>
      </c>
      <c r="AE91" s="113">
        <f ca="1">OFFSET(TblConstr[[#This Row],[Tot OM]],1,0)*om_ore+IF(race="Dwarf",ROUNDDOWN(TblMili[[#This Row],[Unit 2]]/2,0),)</f>
        <v>1800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883.03</v>
      </c>
      <c r="AP91" s="113">
        <f ca="1">(1+race_food_consumption)*TblPop[[#This Row],[Total]]*food_per_person*(1+tech_1_10*TblTech[[#This Row],[1-10]]+tech_7_5*TblTech[[#This Row],[7-5]])</f>
        <v>2490.75</v>
      </c>
      <c r="AQ91" s="113">
        <f ca="1">TblProd[[#This Row],[Lumber]]*lumber_rot * (1 + tech_2_1*TblTech[[#This Row],[2-1]] + tech_2_8*TblTech[[#This Row],[2-8]] + tech_5_2*TblTech[[#This Row],[5-2]])</f>
        <v>435.27</v>
      </c>
      <c r="AR91" s="113">
        <f ca="1">TblProd[[#This Row],[Mana]]*mana_drain * (1 + tech_2_1*TblTech[[#This Row],[2-1]] + tech_2_8*TblTech[[#This Row],[2-8]])</f>
        <v>150.09</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44408.374999999789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794516</v>
      </c>
      <c r="BJ91" s="113">
        <f ca="1">TblProd[[#This Row],[Food]]</f>
        <v>88303</v>
      </c>
      <c r="BK91" s="113">
        <f ca="1">TblProd[[#This Row],[Lumber]]</f>
        <v>43527</v>
      </c>
      <c r="BL91" s="113">
        <f ca="1">TblProd[[#This Row],[Mana]]</f>
        <v>7504.5</v>
      </c>
      <c r="BM91" s="113">
        <f ca="1">TblProd[[#This Row],[Ore]]</f>
        <v>46190</v>
      </c>
    </row>
    <row r="92" spans="1:65" x14ac:dyDescent="0.2">
      <c r="A92" s="178">
        <v>17</v>
      </c>
      <c r="B92" s="198">
        <f ca="1">TblImps[[#This Row],[Time]]</f>
        <v>44408.416666666453</v>
      </c>
      <c r="C92" s="199"/>
      <c r="D92" s="200"/>
      <c r="E92" s="113">
        <f ca="1">TblConstr[[#This Row],[Land]]</f>
        <v>600</v>
      </c>
      <c r="F92" s="113">
        <f ca="1">TblPop[[#This Row],[Peasants]]</f>
        <v>6286</v>
      </c>
      <c r="G92" s="113">
        <f ca="1">TblMili[[#This Row],[Networth (2)]]</f>
        <v>29507.5</v>
      </c>
      <c r="H92" s="113">
        <f ca="1">OFFSET(TblProd[[#This Row],[Platinum]],-1,0)+OFFSET(TblProd[[#This Row],[Plat/hr]],-1,0) - TblProd[[#This Row],[Expenses Platinum]] + IF(TblProd[[#This Row],[Plat Bonus]],TblPop[[#This Row],[Peasants]]*4) + SUM(TblConstr[[#This Row],[Dest Hom]:[Dest Doc]])*TblConstr[[#This Row],[CPA Platinum -DB]]*tech_3_3_2*TblTech[[#This Row],[3-3]]</f>
        <v>823541</v>
      </c>
      <c r="I92" s="113">
        <f ca="1">OFFSET(TblProd[[#This Row],[Food]],-1,0)+OFFSET(TblProd[[#This Row],[Food/hr]],-1,0)+ROUNDUP((TblConstr[[#This Row],[Farms]]*80+TblConstr[[#This Row],[Docks]]*35)*(1+OFFSET(TblProd[[#This Row],[Bonus Food/hr]],-1,0)),0)</f>
        <v>88262</v>
      </c>
      <c r="J92" s="113">
        <f ca="1">OFFSET(TblProd[[#This Row],[Lumber]],-1,0)+OFFSET(TblProd[[#This Row],[Lumber/hr]],-1,0) - TblProd[[#This Row],[Expenses Lumber]] + SUM(TblConstr[[#This Row],[Dest Hom]:[Dest Doc]])*TblConstr[[#This Row],[CPA Lumber -DB]]*tech_3_3_2*TblTech[[#This Row],[3-3]]</f>
        <v>44092</v>
      </c>
      <c r="K92" s="113">
        <f ca="1">OFFSET(TblProd[[#This Row],[Mana]],-1,0)+OFFSET(TblProd[[#This Row],[Mana/hr]],-1,0)- TblProd[[#This Row],[Expenses Mana]]</f>
        <v>7729.5</v>
      </c>
      <c r="L92" s="113">
        <f ca="1">OFFSET(TblProd[[#This Row],[Ore]],-1,0)+OFFSET(TblProd[[#This Row],[Ore/hr]],-1,0) -TblProd[[#This Row],[Expenses Ore]]</f>
        <v>47990</v>
      </c>
      <c r="M92" s="113">
        <f ca="1">OFFSET(TblProd[[#This Row],[Gems]],-1,0)+OFFSET(TblProd[[#This Row],[Gems/hr]],-1,0) - TblProd[[#This Row],[Expenses Gems]]</f>
        <v>0</v>
      </c>
      <c r="N92" s="113">
        <f ca="1">OFFSET(TblProd[[#This Row],[Boats]],-1,0)+OFFSET(TblProd[[#This Row],[Boats/hr]],-1,0)</f>
        <v>65</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2250</v>
      </c>
      <c r="Q92" s="113">
        <v>10000</v>
      </c>
      <c r="R92" s="184"/>
      <c r="S92" s="113">
        <f ca="1">ROUNDDOWN(TblProd[[#This Row],[Raw Plat/hr]]*(1+TblProd[[#This Row],[Bonus Plat/hr]]),0)</f>
        <v>28852</v>
      </c>
      <c r="T92" s="113">
        <f ca="1">ROUND(TblProd[[#This Row],[Raw Food/hr]]*(1+TblProd[[#This Row],[Bonus Food/hr]])-TblProd[[#This Row],[Food decay]]-TblProd[[#This Row],[Food eaten]],0)</f>
        <v>-41</v>
      </c>
      <c r="U92" s="113">
        <f ca="1">ROUND(TblProd[[#This Row],[Raw Lumber/hr]]*(1+TblProd[[#This Row],[Bonus Lumber/hr]])-TblProd[[#This Row],[Lumber rot]],0)</f>
        <v>559</v>
      </c>
      <c r="V92" s="113">
        <f ca="1">ROUND(TblProd[[#This Row],[Raw Mana/hr]]*(1+TblProd[[#This Row],[Bonus Mana/hr]])-TblProd[[#This Row],[Mana drain]],0)</f>
        <v>220</v>
      </c>
      <c r="W92" s="113">
        <f ca="1">ROUNDDOWN(TblProd[[#This Row],[Raw Ore/hr]]*(1+TblProd[[#This Row],[Bonux Ore/hr]]),0)</f>
        <v>1800</v>
      </c>
      <c r="X92" s="113">
        <f ca="1">ROUNDDOWN(TblProd[[#This Row],[Raw Gems/hr]]*(1+TblProd[[#This Row],[Bonus Gems/hr]]),0)</f>
        <v>0</v>
      </c>
      <c r="Y92" s="201">
        <f ca="1">OFFSET(TblConstr[[#This Row],[Tot Doc]],1,0)*dock_boats_hr * (1 + tech_4_1*TblTech[[#This Row],[4-1]])</f>
        <v>1</v>
      </c>
      <c r="Z92" s="200"/>
      <c r="AA92" s="113">
        <f ca="1">TblPop[[#This Row],[Peasants]]*tax*TblPop[[#This Row],[Employment]] + (Construction!AZ93+Construction!BX93)*(alch_plat+(Magic!AL92&gt;0)*alchemist_flame_bonus)</f>
        <v>28852.2</v>
      </c>
      <c r="AB92" s="113">
        <f ca="1">TblConstr[[#This Row],[Tot Farm]]*farm_food + TblConstr[[#This Row],[Tot Doc]]*dock_food</f>
        <v>3100</v>
      </c>
      <c r="AC92" s="113">
        <f ca="1">TblConstr[[#This Row],[Tot Ly]]*ly_lumber + TblConstr[[#This Row],[Tot Hav]]*fh_lumber</f>
        <v>1000</v>
      </c>
      <c r="AD92" s="113">
        <f ca="1">OFFSET(TblConstr[[#This Row],[Tot Tow]],1,0)*(tower_mana + tech_4_5*TblTech[[#This Row],[4-5]])</f>
        <v>375</v>
      </c>
      <c r="AE92" s="113">
        <f ca="1">OFFSET(TblConstr[[#This Row],[Tot OM]],1,0)*om_ore+IF(race="Dwarf",ROUNDDOWN(TblMili[[#This Row],[Unit 2]]/2,0),)</f>
        <v>1800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882.62</v>
      </c>
      <c r="AP92" s="113">
        <f ca="1">(1+race_food_consumption)*TblPop[[#This Row],[Total]]*food_per_person*(1+tech_1_10*TblTech[[#This Row],[1-10]]+tech_7_5*TblTech[[#This Row],[7-5]])</f>
        <v>2490.75</v>
      </c>
      <c r="AQ92" s="113">
        <f ca="1">TblProd[[#This Row],[Lumber]]*lumber_rot * (1 + tech_2_1*TblTech[[#This Row],[2-1]] + tech_2_8*TblTech[[#This Row],[2-8]] + tech_5_2*TblTech[[#This Row],[5-2]])</f>
        <v>440.92</v>
      </c>
      <c r="AR92" s="113">
        <f ca="1">TblProd[[#This Row],[Mana]]*mana_drain * (1 + tech_2_1*TblTech[[#This Row],[2-1]] + tech_2_8*TblTech[[#This Row],[2-8]])</f>
        <v>154.59</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44408.416666666453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823541</v>
      </c>
      <c r="BJ92" s="113">
        <f ca="1">TblProd[[#This Row],[Food]]</f>
        <v>88262</v>
      </c>
      <c r="BK92" s="113">
        <f ca="1">TblProd[[#This Row],[Lumber]]</f>
        <v>44092</v>
      </c>
      <c r="BL92" s="113">
        <f ca="1">TblProd[[#This Row],[Mana]]</f>
        <v>7729.5</v>
      </c>
      <c r="BM92" s="113">
        <f ca="1">TblProd[[#This Row],[Ore]]</f>
        <v>47990</v>
      </c>
    </row>
    <row r="93" spans="1:65" x14ac:dyDescent="0.2">
      <c r="A93" s="178">
        <v>18</v>
      </c>
      <c r="B93" s="198">
        <f ca="1">TblImps[[#This Row],[Time]]</f>
        <v>44408.458333333117</v>
      </c>
      <c r="C93" s="199"/>
      <c r="D93" s="200"/>
      <c r="E93" s="113">
        <f ca="1">TblConstr[[#This Row],[Land]]</f>
        <v>600</v>
      </c>
      <c r="F93" s="113">
        <f ca="1">TblPop[[#This Row],[Peasants]]</f>
        <v>6223</v>
      </c>
      <c r="G93" s="113">
        <f ca="1">TblMili[[#This Row],[Networth (2)]]</f>
        <v>29507.5</v>
      </c>
      <c r="H93" s="113">
        <f ca="1">OFFSET(TblProd[[#This Row],[Platinum]],-1,0)+OFFSET(TblProd[[#This Row],[Plat/hr]],-1,0) - TblProd[[#This Row],[Expenses Platinum]] + IF(TblProd[[#This Row],[Plat Bonus]],TblPop[[#This Row],[Peasants]]*4) + SUM(TblConstr[[#This Row],[Dest Hom]:[Dest Doc]])*TblConstr[[#This Row],[CPA Platinum -DB]]*tech_3_3_2*TblTech[[#This Row],[3-3]]</f>
        <v>852393</v>
      </c>
      <c r="I93" s="113">
        <f ca="1">OFFSET(TblProd[[#This Row],[Food]],-1,0)+OFFSET(TblProd[[#This Row],[Food/hr]],-1,0)+ROUNDUP((TblConstr[[#This Row],[Farms]]*80+TblConstr[[#This Row],[Docks]]*35)*(1+OFFSET(TblProd[[#This Row],[Bonus Food/hr]],-1,0)),0)</f>
        <v>88221</v>
      </c>
      <c r="J93" s="113">
        <f ca="1">OFFSET(TblProd[[#This Row],[Lumber]],-1,0)+OFFSET(TblProd[[#This Row],[Lumber/hr]],-1,0) - TblProd[[#This Row],[Expenses Lumber]] + SUM(TblConstr[[#This Row],[Dest Hom]:[Dest Doc]])*TblConstr[[#This Row],[CPA Lumber -DB]]*tech_3_3_2*TblTech[[#This Row],[3-3]]</f>
        <v>44651</v>
      </c>
      <c r="K93" s="113">
        <f ca="1">OFFSET(TblProd[[#This Row],[Mana]],-1,0)+OFFSET(TblProd[[#This Row],[Mana/hr]],-1,0)- TblProd[[#This Row],[Expenses Mana]]</f>
        <v>7949.5</v>
      </c>
      <c r="L93" s="113">
        <f ca="1">OFFSET(TblProd[[#This Row],[Ore]],-1,0)+OFFSET(TblProd[[#This Row],[Ore/hr]],-1,0) -TblProd[[#This Row],[Expenses Ore]]</f>
        <v>49790</v>
      </c>
      <c r="M93" s="113">
        <f ca="1">OFFSET(TblProd[[#This Row],[Gems]],-1,0)+OFFSET(TblProd[[#This Row],[Gems/hr]],-1,0) - TblProd[[#This Row],[Expenses Gems]]</f>
        <v>0</v>
      </c>
      <c r="N93" s="113">
        <f ca="1">OFFSET(TblProd[[#This Row],[Boats]],-1,0)+OFFSET(TblProd[[#This Row],[Boats/hr]],-1,0)</f>
        <v>66</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2250</v>
      </c>
      <c r="Q93" s="113">
        <v>10000</v>
      </c>
      <c r="R93" s="184"/>
      <c r="S93" s="113">
        <f ca="1">ROUNDDOWN(TblProd[[#This Row],[Raw Plat/hr]]*(1+TblProd[[#This Row],[Bonus Plat/hr]]),0)</f>
        <v>28682</v>
      </c>
      <c r="T93" s="113">
        <f ca="1">ROUND(TblProd[[#This Row],[Raw Food/hr]]*(1+TblProd[[#This Row],[Bonus Food/hr]])-TblProd[[#This Row],[Food decay]]-TblProd[[#This Row],[Food eaten]],0)</f>
        <v>-40</v>
      </c>
      <c r="U93" s="113">
        <f ca="1">ROUND(TblProd[[#This Row],[Raw Lumber/hr]]*(1+TblProd[[#This Row],[Bonus Lumber/hr]])-TblProd[[#This Row],[Lumber rot]],0)</f>
        <v>553</v>
      </c>
      <c r="V93" s="113">
        <f ca="1">ROUND(TblProd[[#This Row],[Raw Mana/hr]]*(1+TblProd[[#This Row],[Bonus Mana/hr]])-TblProd[[#This Row],[Mana drain]],0)</f>
        <v>216</v>
      </c>
      <c r="W93" s="113">
        <f ca="1">ROUNDDOWN(TblProd[[#This Row],[Raw Ore/hr]]*(1+TblProd[[#This Row],[Bonux Ore/hr]]),0)</f>
        <v>1800</v>
      </c>
      <c r="X93" s="113">
        <f ca="1">ROUNDDOWN(TblProd[[#This Row],[Raw Gems/hr]]*(1+TblProd[[#This Row],[Bonus Gems/hr]]),0)</f>
        <v>0</v>
      </c>
      <c r="Y93" s="201">
        <f ca="1">OFFSET(TblConstr[[#This Row],[Tot Doc]],1,0)*dock_boats_hr * (1 + tech_4_1*TblTech[[#This Row],[4-1]])</f>
        <v>1</v>
      </c>
      <c r="Z93" s="200"/>
      <c r="AA93" s="113">
        <f ca="1">TblPop[[#This Row],[Peasants]]*tax*TblPop[[#This Row],[Employment]] + (Construction!AZ94+Construction!BX94)*(alch_plat+(Magic!AL93&gt;0)*alchemist_flame_bonus)</f>
        <v>28682.100000000002</v>
      </c>
      <c r="AB93" s="113">
        <f ca="1">TblConstr[[#This Row],[Tot Farm]]*farm_food + TblConstr[[#This Row],[Tot Doc]]*dock_food</f>
        <v>3100</v>
      </c>
      <c r="AC93" s="113">
        <f ca="1">TblConstr[[#This Row],[Tot Ly]]*ly_lumber + TblConstr[[#This Row],[Tot Hav]]*fh_lumber</f>
        <v>1000</v>
      </c>
      <c r="AD93" s="113">
        <f ca="1">OFFSET(TblConstr[[#This Row],[Tot Tow]],1,0)*(tower_mana + tech_4_5*TblTech[[#This Row],[4-5]])</f>
        <v>375</v>
      </c>
      <c r="AE93" s="113">
        <f ca="1">OFFSET(TblConstr[[#This Row],[Tot OM]],1,0)*om_ore+IF(race="Dwarf",ROUNDDOWN(TblMili[[#This Row],[Unit 2]]/2,0),)</f>
        <v>1800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882.21</v>
      </c>
      <c r="AP93" s="113">
        <f ca="1">(1+race_food_consumption)*TblPop[[#This Row],[Total]]*food_per_person*(1+tech_1_10*TblTech[[#This Row],[1-10]]+tech_7_5*TblTech[[#This Row],[7-5]])</f>
        <v>2490.75</v>
      </c>
      <c r="AQ93" s="113">
        <f ca="1">TblProd[[#This Row],[Lumber]]*lumber_rot * (1 + tech_2_1*TblTech[[#This Row],[2-1]] + tech_2_8*TblTech[[#This Row],[2-8]] + tech_5_2*TblTech[[#This Row],[5-2]])</f>
        <v>446.51</v>
      </c>
      <c r="AR93" s="113">
        <f ca="1">TblProd[[#This Row],[Mana]]*mana_drain * (1 + tech_2_1*TblTech[[#This Row],[2-1]] + tech_2_8*TblTech[[#This Row],[2-8]])</f>
        <v>158.99</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44408.458333333117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852393</v>
      </c>
      <c r="BJ93" s="113">
        <f ca="1">TblProd[[#This Row],[Food]]</f>
        <v>88221</v>
      </c>
      <c r="BK93" s="113">
        <f ca="1">TblProd[[#This Row],[Lumber]]</f>
        <v>44651</v>
      </c>
      <c r="BL93" s="113">
        <f ca="1">TblProd[[#This Row],[Mana]]</f>
        <v>7949.5</v>
      </c>
      <c r="BM93" s="113">
        <f ca="1">TblProd[[#This Row],[Ore]]</f>
        <v>49790</v>
      </c>
    </row>
    <row r="94" spans="1:65" x14ac:dyDescent="0.2">
      <c r="A94" s="178">
        <v>19</v>
      </c>
      <c r="B94" s="198">
        <f ca="1">TblImps[[#This Row],[Time]]</f>
        <v>44408.499999999782</v>
      </c>
      <c r="C94" s="199"/>
      <c r="D94" s="200"/>
      <c r="E94" s="113">
        <f ca="1">TblConstr[[#This Row],[Land]]</f>
        <v>600</v>
      </c>
      <c r="F94" s="113">
        <f ca="1">TblPop[[#This Row],[Peasants]]</f>
        <v>6161</v>
      </c>
      <c r="G94" s="113">
        <f ca="1">TblMili[[#This Row],[Networth (2)]]</f>
        <v>29507.5</v>
      </c>
      <c r="H94" s="113">
        <f ca="1">OFFSET(TblProd[[#This Row],[Platinum]],-1,0)+OFFSET(TblProd[[#This Row],[Plat/hr]],-1,0) - TblProd[[#This Row],[Expenses Platinum]] + IF(TblProd[[#This Row],[Plat Bonus]],TblPop[[#This Row],[Peasants]]*4) + SUM(TblConstr[[#This Row],[Dest Hom]:[Dest Doc]])*TblConstr[[#This Row],[CPA Platinum -DB]]*tech_3_3_2*TblTech[[#This Row],[3-3]]</f>
        <v>881075</v>
      </c>
      <c r="I94" s="113">
        <f ca="1">OFFSET(TblProd[[#This Row],[Food]],-1,0)+OFFSET(TblProd[[#This Row],[Food/hr]],-1,0)+ROUNDUP((TblConstr[[#This Row],[Farms]]*80+TblConstr[[#This Row],[Docks]]*35)*(1+OFFSET(TblProd[[#This Row],[Bonus Food/hr]],-1,0)),0)</f>
        <v>88181</v>
      </c>
      <c r="J94" s="113">
        <f ca="1">OFFSET(TblProd[[#This Row],[Lumber]],-1,0)+OFFSET(TblProd[[#This Row],[Lumber/hr]],-1,0) - TblProd[[#This Row],[Expenses Lumber]] + SUM(TblConstr[[#This Row],[Dest Hom]:[Dest Doc]])*TblConstr[[#This Row],[CPA Lumber -DB]]*tech_3_3_2*TblTech[[#This Row],[3-3]]</f>
        <v>45204</v>
      </c>
      <c r="K94" s="113">
        <f ca="1">OFFSET(TblProd[[#This Row],[Mana]],-1,0)+OFFSET(TblProd[[#This Row],[Mana/hr]],-1,0)- TblProd[[#This Row],[Expenses Mana]]</f>
        <v>8165.5</v>
      </c>
      <c r="L94" s="113">
        <f ca="1">OFFSET(TblProd[[#This Row],[Ore]],-1,0)+OFFSET(TblProd[[#This Row],[Ore/hr]],-1,0) -TblProd[[#This Row],[Expenses Ore]]</f>
        <v>51590</v>
      </c>
      <c r="M94" s="113">
        <f ca="1">OFFSET(TblProd[[#This Row],[Gems]],-1,0)+OFFSET(TblProd[[#This Row],[Gems/hr]],-1,0) - TblProd[[#This Row],[Expenses Gems]]</f>
        <v>0</v>
      </c>
      <c r="N94" s="113">
        <f ca="1">OFFSET(TblProd[[#This Row],[Boats]],-1,0)+OFFSET(TblProd[[#This Row],[Boats/hr]],-1,0)</f>
        <v>67</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2250</v>
      </c>
      <c r="Q94" s="113">
        <v>10000</v>
      </c>
      <c r="R94" s="184"/>
      <c r="S94" s="113">
        <f ca="1">ROUNDDOWN(TblProd[[#This Row],[Raw Plat/hr]]*(1+TblProd[[#This Row],[Bonus Plat/hr]]),0)</f>
        <v>28514</v>
      </c>
      <c r="T94" s="113">
        <f ca="1">ROUND(TblProd[[#This Row],[Raw Food/hr]]*(1+TblProd[[#This Row],[Bonus Food/hr]])-TblProd[[#This Row],[Food decay]]-TblProd[[#This Row],[Food eaten]],0)</f>
        <v>-40</v>
      </c>
      <c r="U94" s="113">
        <f ca="1">ROUND(TblProd[[#This Row],[Raw Lumber/hr]]*(1+TblProd[[#This Row],[Bonus Lumber/hr]])-TblProd[[#This Row],[Lumber rot]],0)</f>
        <v>548</v>
      </c>
      <c r="V94" s="113">
        <f ca="1">ROUND(TblProd[[#This Row],[Raw Mana/hr]]*(1+TblProd[[#This Row],[Bonus Mana/hr]])-TblProd[[#This Row],[Mana drain]],0)</f>
        <v>212</v>
      </c>
      <c r="W94" s="113">
        <f ca="1">ROUNDDOWN(TblProd[[#This Row],[Raw Ore/hr]]*(1+TblProd[[#This Row],[Bonux Ore/hr]]),0)</f>
        <v>1800</v>
      </c>
      <c r="X94" s="113">
        <f ca="1">ROUNDDOWN(TblProd[[#This Row],[Raw Gems/hr]]*(1+TblProd[[#This Row],[Bonus Gems/hr]]),0)</f>
        <v>0</v>
      </c>
      <c r="Y94" s="201">
        <f ca="1">OFFSET(TblConstr[[#This Row],[Tot Doc]],1,0)*dock_boats_hr * (1 + tech_4_1*TblTech[[#This Row],[4-1]])</f>
        <v>1</v>
      </c>
      <c r="Z94" s="200"/>
      <c r="AA94" s="113">
        <f ca="1">TblPop[[#This Row],[Peasants]]*tax*TblPop[[#This Row],[Employment]] + (Construction!AZ95+Construction!BX95)*(alch_plat+(Magic!AL94&gt;0)*alchemist_flame_bonus)</f>
        <v>28514.7</v>
      </c>
      <c r="AB94" s="113">
        <f ca="1">TblConstr[[#This Row],[Tot Farm]]*farm_food + TblConstr[[#This Row],[Tot Doc]]*dock_food</f>
        <v>3100</v>
      </c>
      <c r="AC94" s="113">
        <f ca="1">TblConstr[[#This Row],[Tot Ly]]*ly_lumber + TblConstr[[#This Row],[Tot Hav]]*fh_lumber</f>
        <v>1000</v>
      </c>
      <c r="AD94" s="113">
        <f ca="1">OFFSET(TblConstr[[#This Row],[Tot Tow]],1,0)*(tower_mana + tech_4_5*TblTech[[#This Row],[4-5]])</f>
        <v>375</v>
      </c>
      <c r="AE94" s="113">
        <f ca="1">OFFSET(TblConstr[[#This Row],[Tot OM]],1,0)*om_ore+IF(race="Dwarf",ROUNDDOWN(TblMili[[#This Row],[Unit 2]]/2,0),)</f>
        <v>1800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881.81000000000006</v>
      </c>
      <c r="AP94" s="113">
        <f ca="1">(1+race_food_consumption)*TblPop[[#This Row],[Total]]*food_per_person*(1+tech_1_10*TblTech[[#This Row],[1-10]]+tech_7_5*TblTech[[#This Row],[7-5]])</f>
        <v>2490.75</v>
      </c>
      <c r="AQ94" s="113">
        <f ca="1">TblProd[[#This Row],[Lumber]]*lumber_rot * (1 + tech_2_1*TblTech[[#This Row],[2-1]] + tech_2_8*TblTech[[#This Row],[2-8]] + tech_5_2*TblTech[[#This Row],[5-2]])</f>
        <v>452.04</v>
      </c>
      <c r="AR94" s="113">
        <f ca="1">TblProd[[#This Row],[Mana]]*mana_drain * (1 + tech_2_1*TblTech[[#This Row],[2-1]] + tech_2_8*TblTech[[#This Row],[2-8]])</f>
        <v>163.31</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44408.499999999782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881075</v>
      </c>
      <c r="BJ94" s="113">
        <f ca="1">TblProd[[#This Row],[Food]]</f>
        <v>88181</v>
      </c>
      <c r="BK94" s="113">
        <f ca="1">TblProd[[#This Row],[Lumber]]</f>
        <v>45204</v>
      </c>
      <c r="BL94" s="113">
        <f ca="1">TblProd[[#This Row],[Mana]]</f>
        <v>8165.5</v>
      </c>
      <c r="BM94" s="113">
        <f ca="1">TblProd[[#This Row],[Ore]]</f>
        <v>51590</v>
      </c>
    </row>
    <row r="95" spans="1:65" x14ac:dyDescent="0.2">
      <c r="A95" s="178">
        <v>20</v>
      </c>
      <c r="B95" s="198">
        <f ca="1">TblImps[[#This Row],[Time]]</f>
        <v>44408.541666666446</v>
      </c>
      <c r="C95" s="199"/>
      <c r="D95" s="200"/>
      <c r="E95" s="113">
        <f ca="1">TblConstr[[#This Row],[Land]]</f>
        <v>600</v>
      </c>
      <c r="F95" s="113">
        <f ca="1">TblPop[[#This Row],[Peasants]]</f>
        <v>6099</v>
      </c>
      <c r="G95" s="113">
        <f ca="1">TblMili[[#This Row],[Networth (2)]]</f>
        <v>29507.5</v>
      </c>
      <c r="H95" s="113">
        <f ca="1">OFFSET(TblProd[[#This Row],[Platinum]],-1,0)+OFFSET(TblProd[[#This Row],[Plat/hr]],-1,0) - TblProd[[#This Row],[Expenses Platinum]] + IF(TblProd[[#This Row],[Plat Bonus]],TblPop[[#This Row],[Peasants]]*4) + SUM(TblConstr[[#This Row],[Dest Hom]:[Dest Doc]])*TblConstr[[#This Row],[CPA Platinum -DB]]*tech_3_3_2*TblTech[[#This Row],[3-3]]</f>
        <v>909589</v>
      </c>
      <c r="I95" s="113">
        <f ca="1">OFFSET(TblProd[[#This Row],[Food]],-1,0)+OFFSET(TblProd[[#This Row],[Food/hr]],-1,0)+ROUNDUP((TblConstr[[#This Row],[Farms]]*80+TblConstr[[#This Row],[Docks]]*35)*(1+OFFSET(TblProd[[#This Row],[Bonus Food/hr]],-1,0)),0)</f>
        <v>88141</v>
      </c>
      <c r="J95" s="113">
        <f ca="1">OFFSET(TblProd[[#This Row],[Lumber]],-1,0)+OFFSET(TblProd[[#This Row],[Lumber/hr]],-1,0) - TblProd[[#This Row],[Expenses Lumber]] + SUM(TblConstr[[#This Row],[Dest Hom]:[Dest Doc]])*TblConstr[[#This Row],[CPA Lumber -DB]]*tech_3_3_2*TblTech[[#This Row],[3-3]]</f>
        <v>45752</v>
      </c>
      <c r="K95" s="113">
        <f ca="1">OFFSET(TblProd[[#This Row],[Mana]],-1,0)+OFFSET(TblProd[[#This Row],[Mana/hr]],-1,0)- TblProd[[#This Row],[Expenses Mana]]</f>
        <v>8377.5</v>
      </c>
      <c r="L95" s="113">
        <f ca="1">OFFSET(TblProd[[#This Row],[Ore]],-1,0)+OFFSET(TblProd[[#This Row],[Ore/hr]],-1,0) -TblProd[[#This Row],[Expenses Ore]]</f>
        <v>53390</v>
      </c>
      <c r="M95" s="113">
        <f ca="1">OFFSET(TblProd[[#This Row],[Gems]],-1,0)+OFFSET(TblProd[[#This Row],[Gems/hr]],-1,0) - TblProd[[#This Row],[Expenses Gems]]</f>
        <v>0</v>
      </c>
      <c r="N95" s="113">
        <f ca="1">OFFSET(TblProd[[#This Row],[Boats]],-1,0)+OFFSET(TblProd[[#This Row],[Boats/hr]],-1,0)</f>
        <v>68</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2250</v>
      </c>
      <c r="Q95" s="113">
        <v>10000</v>
      </c>
      <c r="R95" s="184"/>
      <c r="S95" s="113">
        <f ca="1">ROUNDDOWN(TblProd[[#This Row],[Raw Plat/hr]]*(1+TblProd[[#This Row],[Bonus Plat/hr]]),0)</f>
        <v>28347</v>
      </c>
      <c r="T95" s="113">
        <f ca="1">ROUND(TblProd[[#This Row],[Raw Food/hr]]*(1+TblProd[[#This Row],[Bonus Food/hr]])-TblProd[[#This Row],[Food decay]]-TblProd[[#This Row],[Food eaten]],0)</f>
        <v>-40</v>
      </c>
      <c r="U95" s="113">
        <f ca="1">ROUND(TblProd[[#This Row],[Raw Lumber/hr]]*(1+TblProd[[#This Row],[Bonus Lumber/hr]])-TblProd[[#This Row],[Lumber rot]],0)</f>
        <v>542</v>
      </c>
      <c r="V95" s="113">
        <f ca="1">ROUND(TblProd[[#This Row],[Raw Mana/hr]]*(1+TblProd[[#This Row],[Bonus Mana/hr]])-TblProd[[#This Row],[Mana drain]],0)</f>
        <v>207</v>
      </c>
      <c r="W95" s="113">
        <f ca="1">ROUNDDOWN(TblProd[[#This Row],[Raw Ore/hr]]*(1+TblProd[[#This Row],[Bonux Ore/hr]]),0)</f>
        <v>1800</v>
      </c>
      <c r="X95" s="113">
        <f ca="1">ROUNDDOWN(TblProd[[#This Row],[Raw Gems/hr]]*(1+TblProd[[#This Row],[Bonus Gems/hr]]),0)</f>
        <v>0</v>
      </c>
      <c r="Y95" s="201">
        <f ca="1">OFFSET(TblConstr[[#This Row],[Tot Doc]],1,0)*dock_boats_hr * (1 + tech_4_1*TblTech[[#This Row],[4-1]])</f>
        <v>1</v>
      </c>
      <c r="Z95" s="200"/>
      <c r="AA95" s="113">
        <f ca="1">TblPop[[#This Row],[Peasants]]*tax*TblPop[[#This Row],[Employment]] + (Construction!AZ96+Construction!BX96)*(alch_plat+(Magic!AL95&gt;0)*alchemist_flame_bonus)</f>
        <v>28347.3</v>
      </c>
      <c r="AB95" s="113">
        <f ca="1">TblConstr[[#This Row],[Tot Farm]]*farm_food + TblConstr[[#This Row],[Tot Doc]]*dock_food</f>
        <v>3100</v>
      </c>
      <c r="AC95" s="113">
        <f ca="1">TblConstr[[#This Row],[Tot Ly]]*ly_lumber + TblConstr[[#This Row],[Tot Hav]]*fh_lumber</f>
        <v>1000</v>
      </c>
      <c r="AD95" s="113">
        <f ca="1">OFFSET(TblConstr[[#This Row],[Tot Tow]],1,0)*(tower_mana + tech_4_5*TblTech[[#This Row],[4-5]])</f>
        <v>375</v>
      </c>
      <c r="AE95" s="113">
        <f ca="1">OFFSET(TblConstr[[#This Row],[Tot OM]],1,0)*om_ore+IF(race="Dwarf",ROUNDDOWN(TblMili[[#This Row],[Unit 2]]/2,0),)</f>
        <v>1800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881.41</v>
      </c>
      <c r="AP95" s="113">
        <f ca="1">(1+race_food_consumption)*TblPop[[#This Row],[Total]]*food_per_person*(1+tech_1_10*TblTech[[#This Row],[1-10]]+tech_7_5*TblTech[[#This Row],[7-5]])</f>
        <v>2490.75</v>
      </c>
      <c r="AQ95" s="113">
        <f ca="1">TblProd[[#This Row],[Lumber]]*lumber_rot * (1 + tech_2_1*TblTech[[#This Row],[2-1]] + tech_2_8*TblTech[[#This Row],[2-8]] + tech_5_2*TblTech[[#This Row],[5-2]])</f>
        <v>457.52</v>
      </c>
      <c r="AR95" s="113">
        <f ca="1">TblProd[[#This Row],[Mana]]*mana_drain * (1 + tech_2_1*TblTech[[#This Row],[2-1]] + tech_2_8*TblTech[[#This Row],[2-8]])</f>
        <v>167.55</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44408.541666666446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909589</v>
      </c>
      <c r="BJ95" s="113">
        <f ca="1">TblProd[[#This Row],[Food]]</f>
        <v>88141</v>
      </c>
      <c r="BK95" s="113">
        <f ca="1">TblProd[[#This Row],[Lumber]]</f>
        <v>45752</v>
      </c>
      <c r="BL95" s="113">
        <f ca="1">TblProd[[#This Row],[Mana]]</f>
        <v>8377.5</v>
      </c>
      <c r="BM95" s="113">
        <f ca="1">TblProd[[#This Row],[Ore]]</f>
        <v>53390</v>
      </c>
    </row>
    <row r="96" spans="1:65" x14ac:dyDescent="0.2">
      <c r="A96" s="178">
        <v>21</v>
      </c>
      <c r="B96" s="198">
        <f ca="1">TblImps[[#This Row],[Time]]</f>
        <v>44408.58333333311</v>
      </c>
      <c r="C96" s="199"/>
      <c r="D96" s="200"/>
      <c r="E96" s="113">
        <f ca="1">TblConstr[[#This Row],[Land]]</f>
        <v>600</v>
      </c>
      <c r="F96" s="113">
        <f ca="1">TblPop[[#This Row],[Peasants]]</f>
        <v>6038</v>
      </c>
      <c r="G96" s="113">
        <f ca="1">TblMili[[#This Row],[Networth (2)]]</f>
        <v>29507.5</v>
      </c>
      <c r="H96" s="113">
        <f ca="1">OFFSET(TblProd[[#This Row],[Platinum]],-1,0)+OFFSET(TblProd[[#This Row],[Plat/hr]],-1,0) - TblProd[[#This Row],[Expenses Platinum]] + IF(TblProd[[#This Row],[Plat Bonus]],TblPop[[#This Row],[Peasants]]*4) + SUM(TblConstr[[#This Row],[Dest Hom]:[Dest Doc]])*TblConstr[[#This Row],[CPA Platinum -DB]]*tech_3_3_2*TblTech[[#This Row],[3-3]]</f>
        <v>937936</v>
      </c>
      <c r="I96" s="113">
        <f ca="1">OFFSET(TblProd[[#This Row],[Food]],-1,0)+OFFSET(TblProd[[#This Row],[Food/hr]],-1,0)+ROUNDUP((TblConstr[[#This Row],[Farms]]*80+TblConstr[[#This Row],[Docks]]*35)*(1+OFFSET(TblProd[[#This Row],[Bonus Food/hr]],-1,0)),0)</f>
        <v>88101</v>
      </c>
      <c r="J96" s="113">
        <f ca="1">OFFSET(TblProd[[#This Row],[Lumber]],-1,0)+OFFSET(TblProd[[#This Row],[Lumber/hr]],-1,0) - TblProd[[#This Row],[Expenses Lumber]] + SUM(TblConstr[[#This Row],[Dest Hom]:[Dest Doc]])*TblConstr[[#This Row],[CPA Lumber -DB]]*tech_3_3_2*TblTech[[#This Row],[3-3]]</f>
        <v>46294</v>
      </c>
      <c r="K96" s="113">
        <f ca="1">OFFSET(TblProd[[#This Row],[Mana]],-1,0)+OFFSET(TblProd[[#This Row],[Mana/hr]],-1,0)- TblProd[[#This Row],[Expenses Mana]]</f>
        <v>8584.5</v>
      </c>
      <c r="L96" s="113">
        <f ca="1">OFFSET(TblProd[[#This Row],[Ore]],-1,0)+OFFSET(TblProd[[#This Row],[Ore/hr]],-1,0) -TblProd[[#This Row],[Expenses Ore]]</f>
        <v>55190</v>
      </c>
      <c r="M96" s="113">
        <f ca="1">OFFSET(TblProd[[#This Row],[Gems]],-1,0)+OFFSET(TblProd[[#This Row],[Gems/hr]],-1,0) - TblProd[[#This Row],[Expenses Gems]]</f>
        <v>0</v>
      </c>
      <c r="N96" s="113">
        <f ca="1">OFFSET(TblProd[[#This Row],[Boats]],-1,0)+OFFSET(TblProd[[#This Row],[Boats/hr]],-1,0)</f>
        <v>69</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2250</v>
      </c>
      <c r="Q96" s="113">
        <v>10000</v>
      </c>
      <c r="R96" s="184"/>
      <c r="S96" s="113">
        <f ca="1">ROUNDDOWN(TblProd[[#This Row],[Raw Plat/hr]]*(1+TblProd[[#This Row],[Bonus Plat/hr]]),0)</f>
        <v>28182</v>
      </c>
      <c r="T96" s="113">
        <f ca="1">ROUND(TblProd[[#This Row],[Raw Food/hr]]*(1+TblProd[[#This Row],[Bonus Food/hr]])-TblProd[[#This Row],[Food decay]]-TblProd[[#This Row],[Food eaten]],0)</f>
        <v>-39</v>
      </c>
      <c r="U96" s="113">
        <f ca="1">ROUND(TblProd[[#This Row],[Raw Lumber/hr]]*(1+TblProd[[#This Row],[Bonus Lumber/hr]])-TblProd[[#This Row],[Lumber rot]],0)</f>
        <v>537</v>
      </c>
      <c r="V96" s="113">
        <f ca="1">ROUND(TblProd[[#This Row],[Raw Mana/hr]]*(1+TblProd[[#This Row],[Bonus Mana/hr]])-TblProd[[#This Row],[Mana drain]],0)</f>
        <v>203</v>
      </c>
      <c r="W96" s="113">
        <f ca="1">ROUNDDOWN(TblProd[[#This Row],[Raw Ore/hr]]*(1+TblProd[[#This Row],[Bonux Ore/hr]]),0)</f>
        <v>1800</v>
      </c>
      <c r="X96" s="113">
        <f ca="1">ROUNDDOWN(TblProd[[#This Row],[Raw Gems/hr]]*(1+TblProd[[#This Row],[Bonus Gems/hr]]),0)</f>
        <v>0</v>
      </c>
      <c r="Y96" s="201">
        <f ca="1">OFFSET(TblConstr[[#This Row],[Tot Doc]],1,0)*dock_boats_hr * (1 + tech_4_1*TblTech[[#This Row],[4-1]])</f>
        <v>1</v>
      </c>
      <c r="Z96" s="200"/>
      <c r="AA96" s="113">
        <f ca="1">TblPop[[#This Row],[Peasants]]*tax*TblPop[[#This Row],[Employment]] + (Construction!AZ97+Construction!BX97)*(alch_plat+(Magic!AL96&gt;0)*alchemist_flame_bonus)</f>
        <v>28182.6</v>
      </c>
      <c r="AB96" s="113">
        <f ca="1">TblConstr[[#This Row],[Tot Farm]]*farm_food + TblConstr[[#This Row],[Tot Doc]]*dock_food</f>
        <v>3100</v>
      </c>
      <c r="AC96" s="113">
        <f ca="1">TblConstr[[#This Row],[Tot Ly]]*ly_lumber + TblConstr[[#This Row],[Tot Hav]]*fh_lumber</f>
        <v>1000</v>
      </c>
      <c r="AD96" s="113">
        <f ca="1">OFFSET(TblConstr[[#This Row],[Tot Tow]],1,0)*(tower_mana + tech_4_5*TblTech[[#This Row],[4-5]])</f>
        <v>375</v>
      </c>
      <c r="AE96" s="113">
        <f ca="1">OFFSET(TblConstr[[#This Row],[Tot OM]],1,0)*om_ore+IF(race="Dwarf",ROUNDDOWN(TblMili[[#This Row],[Unit 2]]/2,0),)</f>
        <v>1800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881.01</v>
      </c>
      <c r="AP96" s="113">
        <f ca="1">(1+race_food_consumption)*TblPop[[#This Row],[Total]]*food_per_person*(1+tech_1_10*TblTech[[#This Row],[1-10]]+tech_7_5*TblTech[[#This Row],[7-5]])</f>
        <v>2490.75</v>
      </c>
      <c r="AQ96" s="113">
        <f ca="1">TblProd[[#This Row],[Lumber]]*lumber_rot * (1 + tech_2_1*TblTech[[#This Row],[2-1]] + tech_2_8*TblTech[[#This Row],[2-8]] + tech_5_2*TblTech[[#This Row],[5-2]])</f>
        <v>462.94</v>
      </c>
      <c r="AR96" s="113">
        <f ca="1">TblProd[[#This Row],[Mana]]*mana_drain * (1 + tech_2_1*TblTech[[#This Row],[2-1]] + tech_2_8*TblTech[[#This Row],[2-8]])</f>
        <v>171.69</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44408.58333333311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937936</v>
      </c>
      <c r="BJ96" s="113">
        <f ca="1">TblProd[[#This Row],[Food]]</f>
        <v>88101</v>
      </c>
      <c r="BK96" s="113">
        <f ca="1">TblProd[[#This Row],[Lumber]]</f>
        <v>46294</v>
      </c>
      <c r="BL96" s="113">
        <f ca="1">TblProd[[#This Row],[Mana]]</f>
        <v>8584.5</v>
      </c>
      <c r="BM96" s="113">
        <f ca="1">TblProd[[#This Row],[Ore]]</f>
        <v>55190</v>
      </c>
    </row>
    <row r="97" spans="1:65" x14ac:dyDescent="0.2">
      <c r="A97" s="178">
        <v>22</v>
      </c>
      <c r="B97" s="198">
        <f ca="1">TblImps[[#This Row],[Time]]</f>
        <v>44408.624999999774</v>
      </c>
      <c r="C97" s="199"/>
      <c r="D97" s="200"/>
      <c r="E97" s="113">
        <f ca="1">TblConstr[[#This Row],[Land]]</f>
        <v>600</v>
      </c>
      <c r="F97" s="113">
        <f ca="1">TblPop[[#This Row],[Peasants]]</f>
        <v>5978</v>
      </c>
      <c r="G97" s="113">
        <f ca="1">TblMili[[#This Row],[Networth (2)]]</f>
        <v>29507.5</v>
      </c>
      <c r="H97" s="113">
        <f ca="1">OFFSET(TblProd[[#This Row],[Platinum]],-1,0)+OFFSET(TblProd[[#This Row],[Plat/hr]],-1,0) - TblProd[[#This Row],[Expenses Platinum]] + IF(TblProd[[#This Row],[Plat Bonus]],TblPop[[#This Row],[Peasants]]*4) + SUM(TblConstr[[#This Row],[Dest Hom]:[Dest Doc]])*TblConstr[[#This Row],[CPA Platinum -DB]]*tech_3_3_2*TblTech[[#This Row],[3-3]]</f>
        <v>966118</v>
      </c>
      <c r="I97" s="113">
        <f ca="1">OFFSET(TblProd[[#This Row],[Food]],-1,0)+OFFSET(TblProd[[#This Row],[Food/hr]],-1,0)+ROUNDUP((TblConstr[[#This Row],[Farms]]*80+TblConstr[[#This Row],[Docks]]*35)*(1+OFFSET(TblProd[[#This Row],[Bonus Food/hr]],-1,0)),0)</f>
        <v>88062</v>
      </c>
      <c r="J97" s="113">
        <f ca="1">OFFSET(TblProd[[#This Row],[Lumber]],-1,0)+OFFSET(TblProd[[#This Row],[Lumber/hr]],-1,0) - TblProd[[#This Row],[Expenses Lumber]] + SUM(TblConstr[[#This Row],[Dest Hom]:[Dest Doc]])*TblConstr[[#This Row],[CPA Lumber -DB]]*tech_3_3_2*TblTech[[#This Row],[3-3]]</f>
        <v>46831</v>
      </c>
      <c r="K97" s="113">
        <f ca="1">OFFSET(TblProd[[#This Row],[Mana]],-1,0)+OFFSET(TblProd[[#This Row],[Mana/hr]],-1,0)- TblProd[[#This Row],[Expenses Mana]]</f>
        <v>8787.5</v>
      </c>
      <c r="L97" s="113">
        <f ca="1">OFFSET(TblProd[[#This Row],[Ore]],-1,0)+OFFSET(TblProd[[#This Row],[Ore/hr]],-1,0) -TblProd[[#This Row],[Expenses Ore]]</f>
        <v>56990</v>
      </c>
      <c r="M97" s="113">
        <f ca="1">OFFSET(TblProd[[#This Row],[Gems]],-1,0)+OFFSET(TblProd[[#This Row],[Gems/hr]],-1,0) - TblProd[[#This Row],[Expenses Gems]]</f>
        <v>0</v>
      </c>
      <c r="N97" s="113">
        <f ca="1">OFFSET(TblProd[[#This Row],[Boats]],-1,0)+OFFSET(TblProd[[#This Row],[Boats/hr]],-1,0)</f>
        <v>70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2250</v>
      </c>
      <c r="Q97" s="113">
        <v>10000</v>
      </c>
      <c r="R97" s="184"/>
      <c r="S97" s="113">
        <f ca="1">ROUNDDOWN(TblProd[[#This Row],[Raw Plat/hr]]*(1+TblProd[[#This Row],[Bonus Plat/hr]]),0)</f>
        <v>28020</v>
      </c>
      <c r="T97" s="113">
        <f ca="1">ROUND(TblProd[[#This Row],[Raw Food/hr]]*(1+TblProd[[#This Row],[Bonus Food/hr]])-TblProd[[#This Row],[Food decay]]-TblProd[[#This Row],[Food eaten]],0)</f>
        <v>-39</v>
      </c>
      <c r="U97" s="113">
        <f ca="1">ROUND(TblProd[[#This Row],[Raw Lumber/hr]]*(1+TblProd[[#This Row],[Bonus Lumber/hr]])-TblProd[[#This Row],[Lumber rot]],0)</f>
        <v>532</v>
      </c>
      <c r="V97" s="113">
        <f ca="1">ROUND(TblProd[[#This Row],[Raw Mana/hr]]*(1+TblProd[[#This Row],[Bonus Mana/hr]])-TblProd[[#This Row],[Mana drain]],0)</f>
        <v>199</v>
      </c>
      <c r="W97" s="113">
        <f ca="1">ROUNDDOWN(TblProd[[#This Row],[Raw Ore/hr]]*(1+TblProd[[#This Row],[Bonux Ore/hr]]),0)</f>
        <v>1800</v>
      </c>
      <c r="X97" s="113">
        <f ca="1">ROUNDDOWN(TblProd[[#This Row],[Raw Gems/hr]]*(1+TblProd[[#This Row],[Bonus Gems/hr]]),0)</f>
        <v>0</v>
      </c>
      <c r="Y97" s="201">
        <f ca="1">OFFSET(TblConstr[[#This Row],[Tot Doc]],1,0)*dock_boats_hr * (1 + tech_4_1*TblTech[[#This Row],[4-1]])</f>
        <v>1</v>
      </c>
      <c r="Z97" s="200"/>
      <c r="AA97" s="113">
        <f ca="1">TblPop[[#This Row],[Peasants]]*tax*TblPop[[#This Row],[Employment]] + (Construction!AZ98+Construction!BX98)*(alch_plat+(Magic!AL97&gt;0)*alchemist_flame_bonus)</f>
        <v>28020.6</v>
      </c>
      <c r="AB97" s="113">
        <f ca="1">TblConstr[[#This Row],[Tot Farm]]*farm_food + TblConstr[[#This Row],[Tot Doc]]*dock_food</f>
        <v>3100</v>
      </c>
      <c r="AC97" s="113">
        <f ca="1">TblConstr[[#This Row],[Tot Ly]]*ly_lumber + TblConstr[[#This Row],[Tot Hav]]*fh_lumber</f>
        <v>1000</v>
      </c>
      <c r="AD97" s="113">
        <f ca="1">OFFSET(TblConstr[[#This Row],[Tot Tow]],1,0)*(tower_mana + tech_4_5*TblTech[[#This Row],[4-5]])</f>
        <v>375</v>
      </c>
      <c r="AE97" s="113">
        <f ca="1">OFFSET(TblConstr[[#This Row],[Tot OM]],1,0)*om_ore+IF(race="Dwarf",ROUNDDOWN(TblMili[[#This Row],[Unit 2]]/2,0),)</f>
        <v>1800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880.62</v>
      </c>
      <c r="AP97" s="113">
        <f ca="1">(1+race_food_consumption)*TblPop[[#This Row],[Total]]*food_per_person*(1+tech_1_10*TblTech[[#This Row],[1-10]]+tech_7_5*TblTech[[#This Row],[7-5]])</f>
        <v>2490.75</v>
      </c>
      <c r="AQ97" s="113">
        <f ca="1">TblProd[[#This Row],[Lumber]]*lumber_rot * (1 + tech_2_1*TblTech[[#This Row],[2-1]] + tech_2_8*TblTech[[#This Row],[2-8]] + tech_5_2*TblTech[[#This Row],[5-2]])</f>
        <v>468.31</v>
      </c>
      <c r="AR97" s="113">
        <f ca="1">TblProd[[#This Row],[Mana]]*mana_drain * (1 + tech_2_1*TblTech[[#This Row],[2-1]] + tech_2_8*TblTech[[#This Row],[2-8]])</f>
        <v>175.75</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44408.624999999774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966118</v>
      </c>
      <c r="BJ97" s="113">
        <f ca="1">TblProd[[#This Row],[Food]]</f>
        <v>88062</v>
      </c>
      <c r="BK97" s="113">
        <f ca="1">TblProd[[#This Row],[Lumber]]</f>
        <v>46831</v>
      </c>
      <c r="BL97" s="113">
        <f ca="1">TblProd[[#This Row],[Mana]]</f>
        <v>8787.5</v>
      </c>
      <c r="BM97" s="113">
        <f ca="1">TblProd[[#This Row],[Ore]]</f>
        <v>56990</v>
      </c>
    </row>
    <row r="98" spans="1:65" x14ac:dyDescent="0.2">
      <c r="A98" s="178">
        <v>23</v>
      </c>
      <c r="B98" s="198">
        <f ca="1">TblImps[[#This Row],[Time]]</f>
        <v>44408.666666666439</v>
      </c>
      <c r="C98" s="199"/>
      <c r="D98" s="200"/>
      <c r="E98" s="113">
        <f ca="1">TblConstr[[#This Row],[Land]]</f>
        <v>600</v>
      </c>
      <c r="F98" s="113">
        <f ca="1">TblPop[[#This Row],[Peasants]]</f>
        <v>5918</v>
      </c>
      <c r="G98" s="113">
        <f ca="1">TblMili[[#This Row],[Networth (2)]]</f>
        <v>29507.5</v>
      </c>
      <c r="H98" s="113">
        <f ca="1">OFFSET(TblProd[[#This Row],[Platinum]],-1,0)+OFFSET(TblProd[[#This Row],[Plat/hr]],-1,0) - TblProd[[#This Row],[Expenses Platinum]] + IF(TblProd[[#This Row],[Plat Bonus]],TblPop[[#This Row],[Peasants]]*4) + SUM(TblConstr[[#This Row],[Dest Hom]:[Dest Doc]])*TblConstr[[#This Row],[CPA Platinum -DB]]*tech_3_3_2*TblTech[[#This Row],[3-3]]</f>
        <v>994138</v>
      </c>
      <c r="I98" s="113">
        <f ca="1">OFFSET(TblProd[[#This Row],[Food]],-1,0)+OFFSET(TblProd[[#This Row],[Food/hr]],-1,0)+ROUNDUP((TblConstr[[#This Row],[Farms]]*80+TblConstr[[#This Row],[Docks]]*35)*(1+OFFSET(TblProd[[#This Row],[Bonus Food/hr]],-1,0)),0)</f>
        <v>88023</v>
      </c>
      <c r="J98" s="113">
        <f ca="1">OFFSET(TblProd[[#This Row],[Lumber]],-1,0)+OFFSET(TblProd[[#This Row],[Lumber/hr]],-1,0) - TblProd[[#This Row],[Expenses Lumber]] + SUM(TblConstr[[#This Row],[Dest Hom]:[Dest Doc]])*TblConstr[[#This Row],[CPA Lumber -DB]]*tech_3_3_2*TblTech[[#This Row],[3-3]]</f>
        <v>47363</v>
      </c>
      <c r="K98" s="113">
        <f ca="1">OFFSET(TblProd[[#This Row],[Mana]],-1,0)+OFFSET(TblProd[[#This Row],[Mana/hr]],-1,0)- TblProd[[#This Row],[Expenses Mana]]</f>
        <v>8986.5</v>
      </c>
      <c r="L98" s="113">
        <f ca="1">OFFSET(TblProd[[#This Row],[Ore]],-1,0)+OFFSET(TblProd[[#This Row],[Ore/hr]],-1,0) -TblProd[[#This Row],[Expenses Ore]]</f>
        <v>58790</v>
      </c>
      <c r="M98" s="113">
        <f ca="1">OFFSET(TblProd[[#This Row],[Gems]],-1,0)+OFFSET(TblProd[[#This Row],[Gems/hr]],-1,0) - TblProd[[#This Row],[Expenses Gems]]</f>
        <v>0</v>
      </c>
      <c r="N98" s="113">
        <f ca="1">OFFSET(TblProd[[#This Row],[Boats]],-1,0)+OFFSET(TblProd[[#This Row],[Boats/hr]],-1,0)</f>
        <v>71</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2250</v>
      </c>
      <c r="Q98" s="113">
        <v>10000</v>
      </c>
      <c r="R98" s="184"/>
      <c r="S98" s="113">
        <f ca="1">ROUNDDOWN(TblProd[[#This Row],[Raw Plat/hr]]*(1+TblProd[[#This Row],[Bonus Plat/hr]]),0)</f>
        <v>27858</v>
      </c>
      <c r="T98" s="113">
        <f ca="1">ROUND(TblProd[[#This Row],[Raw Food/hr]]*(1+TblProd[[#This Row],[Bonus Food/hr]])-TblProd[[#This Row],[Food decay]]-TblProd[[#This Row],[Food eaten]],0)</f>
        <v>-38</v>
      </c>
      <c r="U98" s="113">
        <f ca="1">ROUND(TblProd[[#This Row],[Raw Lumber/hr]]*(1+TblProd[[#This Row],[Bonus Lumber/hr]])-TblProd[[#This Row],[Lumber rot]],0)</f>
        <v>526</v>
      </c>
      <c r="V98" s="113">
        <f ca="1">ROUND(TblProd[[#This Row],[Raw Mana/hr]]*(1+TblProd[[#This Row],[Bonus Mana/hr]])-TblProd[[#This Row],[Mana drain]],0)</f>
        <v>195</v>
      </c>
      <c r="W98" s="113">
        <f ca="1">ROUNDDOWN(TblProd[[#This Row],[Raw Ore/hr]]*(1+TblProd[[#This Row],[Bonux Ore/hr]]),0)</f>
        <v>1800</v>
      </c>
      <c r="X98" s="113">
        <f ca="1">ROUNDDOWN(TblProd[[#This Row],[Raw Gems/hr]]*(1+TblProd[[#This Row],[Bonus Gems/hr]]),0)</f>
        <v>0</v>
      </c>
      <c r="Y98" s="201">
        <f ca="1">OFFSET(TblConstr[[#This Row],[Tot Doc]],1,0)*dock_boats_hr * (1 + tech_4_1*TblTech[[#This Row],[4-1]])</f>
        <v>1</v>
      </c>
      <c r="Z98" s="200"/>
      <c r="AA98" s="113">
        <f ca="1">TblPop[[#This Row],[Peasants]]*tax*TblPop[[#This Row],[Employment]] + (Construction!AZ99+Construction!BX99)*(alch_plat+(Magic!AL98&gt;0)*alchemist_flame_bonus)</f>
        <v>27858.6</v>
      </c>
      <c r="AB98" s="113">
        <f ca="1">TblConstr[[#This Row],[Tot Farm]]*farm_food + TblConstr[[#This Row],[Tot Doc]]*dock_food</f>
        <v>3100</v>
      </c>
      <c r="AC98" s="113">
        <f ca="1">TblConstr[[#This Row],[Tot Ly]]*ly_lumber + TblConstr[[#This Row],[Tot Hav]]*fh_lumber</f>
        <v>1000</v>
      </c>
      <c r="AD98" s="113">
        <f ca="1">OFFSET(TblConstr[[#This Row],[Tot Tow]],1,0)*(tower_mana + tech_4_5*TblTech[[#This Row],[4-5]])</f>
        <v>375</v>
      </c>
      <c r="AE98" s="113">
        <f ca="1">OFFSET(TblConstr[[#This Row],[Tot OM]],1,0)*om_ore+IF(race="Dwarf",ROUNDDOWN(TblMili[[#This Row],[Unit 2]]/2,0),)</f>
        <v>1800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880.23</v>
      </c>
      <c r="AP98" s="113">
        <f ca="1">(1+race_food_consumption)*TblPop[[#This Row],[Total]]*food_per_person*(1+tech_1_10*TblTech[[#This Row],[1-10]]+tech_7_5*TblTech[[#This Row],[7-5]])</f>
        <v>2490.75</v>
      </c>
      <c r="AQ98" s="113">
        <f ca="1">TblProd[[#This Row],[Lumber]]*lumber_rot * (1 + tech_2_1*TblTech[[#This Row],[2-1]] + tech_2_8*TblTech[[#This Row],[2-8]] + tech_5_2*TblTech[[#This Row],[5-2]])</f>
        <v>473.63</v>
      </c>
      <c r="AR98" s="113">
        <f ca="1">TblProd[[#This Row],[Mana]]*mana_drain * (1 + tech_2_1*TblTech[[#This Row],[2-1]] + tech_2_8*TblTech[[#This Row],[2-8]])</f>
        <v>179.73</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44408.666666666439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994138</v>
      </c>
      <c r="BJ98" s="113">
        <f ca="1">TblProd[[#This Row],[Food]]</f>
        <v>88023</v>
      </c>
      <c r="BK98" s="113">
        <f ca="1">TblProd[[#This Row],[Lumber]]</f>
        <v>47363</v>
      </c>
      <c r="BL98" s="113">
        <f ca="1">TblProd[[#This Row],[Mana]]</f>
        <v>8986.5</v>
      </c>
      <c r="BM98" s="113">
        <f ca="1">TblProd[[#This Row],[Ore]]</f>
        <v>58790</v>
      </c>
    </row>
    <row r="99" spans="1:65" x14ac:dyDescent="0.2">
      <c r="A99" s="178">
        <v>24</v>
      </c>
      <c r="B99" s="198">
        <f ca="1">TblImps[[#This Row],[Time]]</f>
        <v>44408.708333333103</v>
      </c>
      <c r="C99" s="199"/>
      <c r="D99" s="200"/>
      <c r="E99" s="113">
        <f ca="1">TblConstr[[#This Row],[Land]]</f>
        <v>600</v>
      </c>
      <c r="F99" s="113">
        <f ca="1">TblPop[[#This Row],[Peasants]]</f>
        <v>5859</v>
      </c>
      <c r="G99" s="113">
        <f ca="1">TblMili[[#This Row],[Networth (2)]]</f>
        <v>29507.5</v>
      </c>
      <c r="H99" s="113">
        <f ca="1">OFFSET(TblProd[[#This Row],[Platinum]],-1,0)+OFFSET(TblProd[[#This Row],[Plat/hr]],-1,0) - TblProd[[#This Row],[Expenses Platinum]] + IF(TblProd[[#This Row],[Plat Bonus]],TblPop[[#This Row],[Peasants]]*4) + SUM(TblConstr[[#This Row],[Dest Hom]:[Dest Doc]])*TblConstr[[#This Row],[CPA Platinum -DB]]*tech_3_3_2*TblTech[[#This Row],[3-3]]</f>
        <v>1021996</v>
      </c>
      <c r="I99" s="113">
        <f ca="1">OFFSET(TblProd[[#This Row],[Food]],-1,0)+OFFSET(TblProd[[#This Row],[Food/hr]],-1,0)+ROUNDUP((TblConstr[[#This Row],[Farms]]*80+TblConstr[[#This Row],[Docks]]*35)*(1+OFFSET(TblProd[[#This Row],[Bonus Food/hr]],-1,0)),0)</f>
        <v>87985</v>
      </c>
      <c r="J99" s="113">
        <f ca="1">OFFSET(TblProd[[#This Row],[Lumber]],-1,0)+OFFSET(TblProd[[#This Row],[Lumber/hr]],-1,0) - TblProd[[#This Row],[Expenses Lumber]] + SUM(TblConstr[[#This Row],[Dest Hom]:[Dest Doc]])*TblConstr[[#This Row],[CPA Lumber -DB]]*tech_3_3_2*TblTech[[#This Row],[3-3]]</f>
        <v>47889</v>
      </c>
      <c r="K99" s="113">
        <f ca="1">OFFSET(TblProd[[#This Row],[Mana]],-1,0)+OFFSET(TblProd[[#This Row],[Mana/hr]],-1,0)- TblProd[[#This Row],[Expenses Mana]]</f>
        <v>9181.5</v>
      </c>
      <c r="L99" s="113">
        <f ca="1">OFFSET(TblProd[[#This Row],[Ore]],-1,0)+OFFSET(TblProd[[#This Row],[Ore/hr]],-1,0) -TblProd[[#This Row],[Expenses Ore]]</f>
        <v>60590</v>
      </c>
      <c r="M99" s="113">
        <f ca="1">OFFSET(TblProd[[#This Row],[Gems]],-1,0)+OFFSET(TblProd[[#This Row],[Gems/hr]],-1,0) - TblProd[[#This Row],[Expenses Gems]]</f>
        <v>0</v>
      </c>
      <c r="N99" s="113">
        <f ca="1">OFFSET(TblProd[[#This Row],[Boats]],-1,0)+OFFSET(TblProd[[#This Row],[Boats/hr]],-1,0)</f>
        <v>72</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2250</v>
      </c>
      <c r="Q99" s="113">
        <v>10000</v>
      </c>
      <c r="R99" s="184"/>
      <c r="S99" s="113">
        <f ca="1">ROUNDDOWN(TblProd[[#This Row],[Raw Plat/hr]]*(1+TblProd[[#This Row],[Bonus Plat/hr]]),0)</f>
        <v>27699</v>
      </c>
      <c r="T99" s="113">
        <f ca="1">ROUND(TblProd[[#This Row],[Raw Food/hr]]*(1+TblProd[[#This Row],[Bonus Food/hr]])-TblProd[[#This Row],[Food decay]]-TblProd[[#This Row],[Food eaten]],0)</f>
        <v>-38</v>
      </c>
      <c r="U99" s="113">
        <f ca="1">ROUND(TblProd[[#This Row],[Raw Lumber/hr]]*(1+TblProd[[#This Row],[Bonus Lumber/hr]])-TblProd[[#This Row],[Lumber rot]],0)</f>
        <v>521</v>
      </c>
      <c r="V99" s="113">
        <f ca="1">ROUND(TblProd[[#This Row],[Raw Mana/hr]]*(1+TblProd[[#This Row],[Bonus Mana/hr]])-TblProd[[#This Row],[Mana drain]],0)</f>
        <v>191</v>
      </c>
      <c r="W99" s="113">
        <f ca="1">ROUNDDOWN(TblProd[[#This Row],[Raw Ore/hr]]*(1+TblProd[[#This Row],[Bonux Ore/hr]]),0)</f>
        <v>1800</v>
      </c>
      <c r="X99" s="113">
        <f ca="1">ROUNDDOWN(TblProd[[#This Row],[Raw Gems/hr]]*(1+TblProd[[#This Row],[Bonus Gems/hr]]),0)</f>
        <v>0</v>
      </c>
      <c r="Y99" s="201">
        <f ca="1">OFFSET(TblConstr[[#This Row],[Tot Doc]],1,0)*dock_boats_hr * (1 + tech_4_1*TblTech[[#This Row],[4-1]])</f>
        <v>1</v>
      </c>
      <c r="Z99" s="200"/>
      <c r="AA99" s="113">
        <f ca="1">TblPop[[#This Row],[Peasants]]*tax*TblPop[[#This Row],[Employment]] + (Construction!AZ100+Construction!BX100)*(alch_plat+(Magic!AL99&gt;0)*alchemist_flame_bonus)</f>
        <v>27699.300000000003</v>
      </c>
      <c r="AB99" s="113">
        <f ca="1">TblConstr[[#This Row],[Tot Farm]]*farm_food + TblConstr[[#This Row],[Tot Doc]]*dock_food</f>
        <v>3100</v>
      </c>
      <c r="AC99" s="113">
        <f ca="1">TblConstr[[#This Row],[Tot Ly]]*ly_lumber + TblConstr[[#This Row],[Tot Hav]]*fh_lumber</f>
        <v>1000</v>
      </c>
      <c r="AD99" s="113">
        <f ca="1">OFFSET(TblConstr[[#This Row],[Tot Tow]],1,0)*(tower_mana + tech_4_5*TblTech[[#This Row],[4-5]])</f>
        <v>375</v>
      </c>
      <c r="AE99" s="113">
        <f ca="1">OFFSET(TblConstr[[#This Row],[Tot OM]],1,0)*om_ore+IF(race="Dwarf",ROUNDDOWN(TblMili[[#This Row],[Unit 2]]/2,0),)</f>
        <v>1800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879.85</v>
      </c>
      <c r="AP99" s="113">
        <f ca="1">(1+race_food_consumption)*TblPop[[#This Row],[Total]]*food_per_person*(1+tech_1_10*TblTech[[#This Row],[1-10]]+tech_7_5*TblTech[[#This Row],[7-5]])</f>
        <v>2490.75</v>
      </c>
      <c r="AQ99" s="113">
        <f ca="1">TblProd[[#This Row],[Lumber]]*lumber_rot * (1 + tech_2_1*TblTech[[#This Row],[2-1]] + tech_2_8*TblTech[[#This Row],[2-8]] + tech_5_2*TblTech[[#This Row],[5-2]])</f>
        <v>478.89</v>
      </c>
      <c r="AR99" s="113">
        <f ca="1">TblProd[[#This Row],[Mana]]*mana_drain * (1 + tech_2_1*TblTech[[#This Row],[2-1]] + tech_2_8*TblTech[[#This Row],[2-8]])</f>
        <v>183.63</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44408.708333333103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1021996</v>
      </c>
      <c r="BJ99" s="113">
        <f ca="1">TblProd[[#This Row],[Food]]</f>
        <v>87985</v>
      </c>
      <c r="BK99" s="113">
        <f ca="1">TblProd[[#This Row],[Lumber]]</f>
        <v>47889</v>
      </c>
      <c r="BL99" s="113">
        <f ca="1">TblProd[[#This Row],[Mana]]</f>
        <v>9181.5</v>
      </c>
      <c r="BM99" s="113">
        <f ca="1">TblProd[[#This Row],[Ore]]</f>
        <v>60590</v>
      </c>
    </row>
    <row r="100" spans="1:65" x14ac:dyDescent="0.2">
      <c r="A100" s="178">
        <v>25</v>
      </c>
      <c r="B100" s="198">
        <f ca="1">TblImps[[#This Row],[Time]]</f>
        <v>44408.749999999767</v>
      </c>
      <c r="C100" s="199"/>
      <c r="D100" s="200"/>
      <c r="E100" s="113">
        <f ca="1">TblConstr[[#This Row],[Land]]</f>
        <v>600</v>
      </c>
      <c r="F100" s="113">
        <f ca="1">TblPop[[#This Row],[Peasants]]</f>
        <v>5800</v>
      </c>
      <c r="G100" s="113">
        <f ca="1">TblMili[[#This Row],[Networth (2)]]</f>
        <v>29507.5</v>
      </c>
      <c r="H100" s="113">
        <f ca="1">OFFSET(TblProd[[#This Row],[Platinum]],-1,0)+OFFSET(TblProd[[#This Row],[Plat/hr]],-1,0) - TblProd[[#This Row],[Expenses Platinum]] + IF(TblProd[[#This Row],[Plat Bonus]],TblPop[[#This Row],[Peasants]]*4) + SUM(TblConstr[[#This Row],[Dest Hom]:[Dest Doc]])*TblConstr[[#This Row],[CPA Platinum -DB]]*tech_3_3_2*TblTech[[#This Row],[3-3]]</f>
        <v>1049695</v>
      </c>
      <c r="I100" s="113">
        <f ca="1">OFFSET(TblProd[[#This Row],[Food]],-1,0)+OFFSET(TblProd[[#This Row],[Food/hr]],-1,0)+ROUNDUP((TblConstr[[#This Row],[Farms]]*80+TblConstr[[#This Row],[Docks]]*35)*(1+OFFSET(TblProd[[#This Row],[Bonus Food/hr]],-1,0)),0)</f>
        <v>87947</v>
      </c>
      <c r="J100" s="113">
        <f ca="1">OFFSET(TblProd[[#This Row],[Lumber]],-1,0)+OFFSET(TblProd[[#This Row],[Lumber/hr]],-1,0) - TblProd[[#This Row],[Expenses Lumber]] + SUM(TblConstr[[#This Row],[Dest Hom]:[Dest Doc]])*TblConstr[[#This Row],[CPA Lumber -DB]]*tech_3_3_2*TblTech[[#This Row],[3-3]]</f>
        <v>48410</v>
      </c>
      <c r="K100" s="113">
        <f ca="1">OFFSET(TblProd[[#This Row],[Mana]],-1,0)+OFFSET(TblProd[[#This Row],[Mana/hr]],-1,0)- TblProd[[#This Row],[Expenses Mana]]</f>
        <v>9372.5</v>
      </c>
      <c r="L100" s="113">
        <f ca="1">OFFSET(TblProd[[#This Row],[Ore]],-1,0)+OFFSET(TblProd[[#This Row],[Ore/hr]],-1,0) -TblProd[[#This Row],[Expenses Ore]]</f>
        <v>62390</v>
      </c>
      <c r="M100" s="113">
        <f ca="1">OFFSET(TblProd[[#This Row],[Gems]],-1,0)+OFFSET(TblProd[[#This Row],[Gems/hr]],-1,0) - TblProd[[#This Row],[Expenses Gems]]</f>
        <v>0</v>
      </c>
      <c r="N100" s="113">
        <f ca="1">OFFSET(TblProd[[#This Row],[Boats]],-1,0)+OFFSET(TblProd[[#This Row],[Boats/hr]],-1,0)</f>
        <v>73</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2250</v>
      </c>
      <c r="Q100" s="113">
        <v>10000</v>
      </c>
      <c r="R100" s="184"/>
      <c r="S100" s="113">
        <f ca="1">ROUNDDOWN(TblProd[[#This Row],[Raw Plat/hr]]*(1+TblProd[[#This Row],[Bonus Plat/hr]]),0)</f>
        <v>27540</v>
      </c>
      <c r="T100" s="113">
        <f ca="1">ROUND(TblProd[[#This Row],[Raw Food/hr]]*(1+TblProd[[#This Row],[Bonus Food/hr]])-TblProd[[#This Row],[Food decay]]-TblProd[[#This Row],[Food eaten]],0)</f>
        <v>-38</v>
      </c>
      <c r="U100" s="113">
        <f ca="1">ROUND(TblProd[[#This Row],[Raw Lumber/hr]]*(1+TblProd[[#This Row],[Bonus Lumber/hr]])-TblProd[[#This Row],[Lumber rot]],0)</f>
        <v>516</v>
      </c>
      <c r="V100" s="113">
        <f ca="1">ROUND(TblProd[[#This Row],[Raw Mana/hr]]*(1+TblProd[[#This Row],[Bonus Mana/hr]])-TblProd[[#This Row],[Mana drain]],0)</f>
        <v>188</v>
      </c>
      <c r="W100" s="113">
        <f ca="1">ROUNDDOWN(TblProd[[#This Row],[Raw Ore/hr]]*(1+TblProd[[#This Row],[Bonux Ore/hr]]),0)</f>
        <v>1800</v>
      </c>
      <c r="X100" s="113">
        <f ca="1">ROUNDDOWN(TblProd[[#This Row],[Raw Gems/hr]]*(1+TblProd[[#This Row],[Bonus Gems/hr]]),0)</f>
        <v>0</v>
      </c>
      <c r="Y100" s="201">
        <f ca="1">OFFSET(TblConstr[[#This Row],[Tot Doc]],1,0)*dock_boats_hr * (1 + tech_4_1*TblTech[[#This Row],[4-1]])</f>
        <v>1</v>
      </c>
      <c r="Z100" s="200"/>
      <c r="AA100" s="113">
        <f ca="1">TblPop[[#This Row],[Peasants]]*tax*TblPop[[#This Row],[Employment]] + (Construction!AZ101+Construction!BX101)*(alch_plat+(Magic!AL100&gt;0)*alchemist_flame_bonus)</f>
        <v>27540</v>
      </c>
      <c r="AB100" s="113">
        <f ca="1">TblConstr[[#This Row],[Tot Farm]]*farm_food + TblConstr[[#This Row],[Tot Doc]]*dock_food</f>
        <v>3100</v>
      </c>
      <c r="AC100" s="113">
        <f ca="1">TblConstr[[#This Row],[Tot Ly]]*ly_lumber + TblConstr[[#This Row],[Tot Hav]]*fh_lumber</f>
        <v>1000</v>
      </c>
      <c r="AD100" s="113">
        <f ca="1">OFFSET(TblConstr[[#This Row],[Tot Tow]],1,0)*(tower_mana + tech_4_5*TblTech[[#This Row],[4-5]])</f>
        <v>375</v>
      </c>
      <c r="AE100" s="113">
        <f ca="1">OFFSET(TblConstr[[#This Row],[Tot OM]],1,0)*om_ore+IF(race="Dwarf",ROUNDDOWN(TblMili[[#This Row],[Unit 2]]/2,0),)</f>
        <v>1800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879.47</v>
      </c>
      <c r="AP100" s="113">
        <f ca="1">(1+race_food_consumption)*TblPop[[#This Row],[Total]]*food_per_person*(1+tech_1_10*TblTech[[#This Row],[1-10]]+tech_7_5*TblTech[[#This Row],[7-5]])</f>
        <v>2490.75</v>
      </c>
      <c r="AQ100" s="113">
        <f ca="1">TblProd[[#This Row],[Lumber]]*lumber_rot * (1 + tech_2_1*TblTech[[#This Row],[2-1]] + tech_2_8*TblTech[[#This Row],[2-8]] + tech_5_2*TblTech[[#This Row],[5-2]])</f>
        <v>484.1</v>
      </c>
      <c r="AR100" s="113">
        <f ca="1">TblProd[[#This Row],[Mana]]*mana_drain * (1 + tech_2_1*TblTech[[#This Row],[2-1]] + tech_2_8*TblTech[[#This Row],[2-8]])</f>
        <v>187.45000000000002</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44408.749999999767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1049695</v>
      </c>
      <c r="BJ100" s="113">
        <f ca="1">TblProd[[#This Row],[Food]]</f>
        <v>87947</v>
      </c>
      <c r="BK100" s="113">
        <f ca="1">TblProd[[#This Row],[Lumber]]</f>
        <v>48410</v>
      </c>
      <c r="BL100" s="113">
        <f ca="1">TblProd[[#This Row],[Mana]]</f>
        <v>9372.5</v>
      </c>
      <c r="BM100" s="113">
        <f ca="1">TblProd[[#This Row],[Ore]]</f>
        <v>62390</v>
      </c>
    </row>
    <row r="101" spans="1:65" x14ac:dyDescent="0.2">
      <c r="A101" s="178">
        <v>26</v>
      </c>
      <c r="B101" s="198">
        <f ca="1">TblImps[[#This Row],[Time]]</f>
        <v>44408.791666666431</v>
      </c>
      <c r="C101" s="199"/>
      <c r="D101" s="200"/>
      <c r="E101" s="113">
        <f ca="1">TblConstr[[#This Row],[Land]]</f>
        <v>600</v>
      </c>
      <c r="F101" s="113">
        <f ca="1">TblPop[[#This Row],[Peasants]]</f>
        <v>5742</v>
      </c>
      <c r="G101" s="113">
        <f ca="1">TblMili[[#This Row],[Networth (2)]]</f>
        <v>29507.5</v>
      </c>
      <c r="H101" s="113">
        <f ca="1">OFFSET(TblProd[[#This Row],[Platinum]],-1,0)+OFFSET(TblProd[[#This Row],[Plat/hr]],-1,0) - TblProd[[#This Row],[Expenses Platinum]] + IF(TblProd[[#This Row],[Plat Bonus]],TblPop[[#This Row],[Peasants]]*4) + SUM(TblConstr[[#This Row],[Dest Hom]:[Dest Doc]])*TblConstr[[#This Row],[CPA Platinum -DB]]*tech_3_3_2*TblTech[[#This Row],[3-3]]</f>
        <v>1077235</v>
      </c>
      <c r="I101" s="113">
        <f ca="1">OFFSET(TblProd[[#This Row],[Food]],-1,0)+OFFSET(TblProd[[#This Row],[Food/hr]],-1,0)+ROUNDUP((TblConstr[[#This Row],[Farms]]*80+TblConstr[[#This Row],[Docks]]*35)*(1+OFFSET(TblProd[[#This Row],[Bonus Food/hr]],-1,0)),0)</f>
        <v>87909</v>
      </c>
      <c r="J101" s="113">
        <f ca="1">OFFSET(TblProd[[#This Row],[Lumber]],-1,0)+OFFSET(TblProd[[#This Row],[Lumber/hr]],-1,0) - TblProd[[#This Row],[Expenses Lumber]] + SUM(TblConstr[[#This Row],[Dest Hom]:[Dest Doc]])*TblConstr[[#This Row],[CPA Lumber -DB]]*tech_3_3_2*TblTech[[#This Row],[3-3]]</f>
        <v>48926</v>
      </c>
      <c r="K101" s="113">
        <f ca="1">OFFSET(TblProd[[#This Row],[Mana]],-1,0)+OFFSET(TblProd[[#This Row],[Mana/hr]],-1,0)- TblProd[[#This Row],[Expenses Mana]]</f>
        <v>9560.5</v>
      </c>
      <c r="L101" s="113">
        <f ca="1">OFFSET(TblProd[[#This Row],[Ore]],-1,0)+OFFSET(TblProd[[#This Row],[Ore/hr]],-1,0) -TblProd[[#This Row],[Expenses Ore]]</f>
        <v>64190</v>
      </c>
      <c r="M101" s="113">
        <f ca="1">OFFSET(TblProd[[#This Row],[Gems]],-1,0)+OFFSET(TblProd[[#This Row],[Gems/hr]],-1,0) - TblProd[[#This Row],[Expenses Gems]]</f>
        <v>0</v>
      </c>
      <c r="N101" s="113">
        <f ca="1">OFFSET(TblProd[[#This Row],[Boats]],-1,0)+OFFSET(TblProd[[#This Row],[Boats/hr]],-1,0)</f>
        <v>74</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2250</v>
      </c>
      <c r="Q101" s="113">
        <v>10000</v>
      </c>
      <c r="R101" s="184"/>
      <c r="S101" s="113">
        <f ca="1">ROUNDDOWN(TblProd[[#This Row],[Raw Plat/hr]]*(1+TblProd[[#This Row],[Bonus Plat/hr]]),0)</f>
        <v>27383</v>
      </c>
      <c r="T101" s="113">
        <f ca="1">ROUND(TblProd[[#This Row],[Raw Food/hr]]*(1+TblProd[[#This Row],[Bonus Food/hr]])-TblProd[[#This Row],[Food decay]]-TblProd[[#This Row],[Food eaten]],0)</f>
        <v>-37</v>
      </c>
      <c r="U101" s="113">
        <f ca="1">ROUND(TblProd[[#This Row],[Raw Lumber/hr]]*(1+TblProd[[#This Row],[Bonus Lumber/hr]])-TblProd[[#This Row],[Lumber rot]],0)</f>
        <v>511</v>
      </c>
      <c r="V101" s="113">
        <f ca="1">ROUND(TblProd[[#This Row],[Raw Mana/hr]]*(1+TblProd[[#This Row],[Bonus Mana/hr]])-TblProd[[#This Row],[Mana drain]],0)</f>
        <v>184</v>
      </c>
      <c r="W101" s="113">
        <f ca="1">ROUNDDOWN(TblProd[[#This Row],[Raw Ore/hr]]*(1+TblProd[[#This Row],[Bonux Ore/hr]]),0)</f>
        <v>1800</v>
      </c>
      <c r="X101" s="113">
        <f ca="1">ROUNDDOWN(TblProd[[#This Row],[Raw Gems/hr]]*(1+TblProd[[#This Row],[Bonus Gems/hr]]),0)</f>
        <v>0</v>
      </c>
      <c r="Y101" s="201">
        <f ca="1">OFFSET(TblConstr[[#This Row],[Tot Doc]],1,0)*dock_boats_hr * (1 + tech_4_1*TblTech[[#This Row],[4-1]])</f>
        <v>1</v>
      </c>
      <c r="Z101" s="200"/>
      <c r="AA101" s="113">
        <f ca="1">TblPop[[#This Row],[Peasants]]*tax*TblPop[[#This Row],[Employment]] + (Construction!AZ102+Construction!BX102)*(alch_plat+(Magic!AL101&gt;0)*alchemist_flame_bonus)</f>
        <v>27383.4</v>
      </c>
      <c r="AB101" s="113">
        <f ca="1">TblConstr[[#This Row],[Tot Farm]]*farm_food + TblConstr[[#This Row],[Tot Doc]]*dock_food</f>
        <v>3100</v>
      </c>
      <c r="AC101" s="113">
        <f ca="1">TblConstr[[#This Row],[Tot Ly]]*ly_lumber + TblConstr[[#This Row],[Tot Hav]]*fh_lumber</f>
        <v>1000</v>
      </c>
      <c r="AD101" s="113">
        <f ca="1">OFFSET(TblConstr[[#This Row],[Tot Tow]],1,0)*(tower_mana + tech_4_5*TblTech[[#This Row],[4-5]])</f>
        <v>375</v>
      </c>
      <c r="AE101" s="113">
        <f ca="1">OFFSET(TblConstr[[#This Row],[Tot OM]],1,0)*om_ore+IF(race="Dwarf",ROUNDDOWN(TblMili[[#This Row],[Unit 2]]/2,0),)</f>
        <v>1800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879.09</v>
      </c>
      <c r="AP101" s="113">
        <f ca="1">(1+race_food_consumption)*TblPop[[#This Row],[Total]]*food_per_person*(1+tech_1_10*TblTech[[#This Row],[1-10]]+tech_7_5*TblTech[[#This Row],[7-5]])</f>
        <v>2490.75</v>
      </c>
      <c r="AQ101" s="113">
        <f ca="1">TblProd[[#This Row],[Lumber]]*lumber_rot * (1 + tech_2_1*TblTech[[#This Row],[2-1]] + tech_2_8*TblTech[[#This Row],[2-8]] + tech_5_2*TblTech[[#This Row],[5-2]])</f>
        <v>489.26</v>
      </c>
      <c r="AR101" s="113">
        <f ca="1">TblProd[[#This Row],[Mana]]*mana_drain * (1 + tech_2_1*TblTech[[#This Row],[2-1]] + tech_2_8*TblTech[[#This Row],[2-8]])</f>
        <v>191.21</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44408.791666666431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1077235</v>
      </c>
      <c r="BJ101" s="113">
        <f ca="1">TblProd[[#This Row],[Food]]</f>
        <v>87909</v>
      </c>
      <c r="BK101" s="113">
        <f ca="1">TblProd[[#This Row],[Lumber]]</f>
        <v>48926</v>
      </c>
      <c r="BL101" s="113">
        <f ca="1">TblProd[[#This Row],[Mana]]</f>
        <v>9560.5</v>
      </c>
      <c r="BM101" s="113">
        <f ca="1">TblProd[[#This Row],[Ore]]</f>
        <v>64190</v>
      </c>
    </row>
    <row r="102" spans="1:65" x14ac:dyDescent="0.2">
      <c r="A102" s="178">
        <v>27</v>
      </c>
      <c r="B102" s="198">
        <f ca="1">TblImps[[#This Row],[Time]]</f>
        <v>44408.833333333096</v>
      </c>
      <c r="C102" s="199"/>
      <c r="D102" s="200"/>
      <c r="E102" s="113">
        <f ca="1">TblConstr[[#This Row],[Land]]</f>
        <v>600</v>
      </c>
      <c r="F102" s="113">
        <f ca="1">TblPop[[#This Row],[Peasants]]</f>
        <v>5685</v>
      </c>
      <c r="G102" s="113">
        <f ca="1">TblMili[[#This Row],[Networth (2)]]</f>
        <v>29507.5</v>
      </c>
      <c r="H102" s="113">
        <f ca="1">OFFSET(TblProd[[#This Row],[Platinum]],-1,0)+OFFSET(TblProd[[#This Row],[Plat/hr]],-1,0) - TblProd[[#This Row],[Expenses Platinum]] + IF(TblProd[[#This Row],[Plat Bonus]],TblPop[[#This Row],[Peasants]]*4) + SUM(TblConstr[[#This Row],[Dest Hom]:[Dest Doc]])*TblConstr[[#This Row],[CPA Platinum -DB]]*tech_3_3_2*TblTech[[#This Row],[3-3]]</f>
        <v>1104618</v>
      </c>
      <c r="I102" s="113">
        <f ca="1">OFFSET(TblProd[[#This Row],[Food]],-1,0)+OFFSET(TblProd[[#This Row],[Food/hr]],-1,0)+ROUNDUP((TblConstr[[#This Row],[Farms]]*80+TblConstr[[#This Row],[Docks]]*35)*(1+OFFSET(TblProd[[#This Row],[Bonus Food/hr]],-1,0)),0)</f>
        <v>87872</v>
      </c>
      <c r="J102" s="113">
        <f ca="1">OFFSET(TblProd[[#This Row],[Lumber]],-1,0)+OFFSET(TblProd[[#This Row],[Lumber/hr]],-1,0) - TblProd[[#This Row],[Expenses Lumber]] + SUM(TblConstr[[#This Row],[Dest Hom]:[Dest Doc]])*TblConstr[[#This Row],[CPA Lumber -DB]]*tech_3_3_2*TblTech[[#This Row],[3-3]]</f>
        <v>49437</v>
      </c>
      <c r="K102" s="113">
        <f ca="1">OFFSET(TblProd[[#This Row],[Mana]],-1,0)+OFFSET(TblProd[[#This Row],[Mana/hr]],-1,0)- TblProd[[#This Row],[Expenses Mana]]</f>
        <v>9744.5</v>
      </c>
      <c r="L102" s="113">
        <f ca="1">OFFSET(TblProd[[#This Row],[Ore]],-1,0)+OFFSET(TblProd[[#This Row],[Ore/hr]],-1,0) -TblProd[[#This Row],[Expenses Ore]]</f>
        <v>65990</v>
      </c>
      <c r="M102" s="113">
        <f ca="1">OFFSET(TblProd[[#This Row],[Gems]],-1,0)+OFFSET(TblProd[[#This Row],[Gems/hr]],-1,0) - TblProd[[#This Row],[Expenses Gems]]</f>
        <v>0</v>
      </c>
      <c r="N102" s="113">
        <f ca="1">OFFSET(TblProd[[#This Row],[Boats]],-1,0)+OFFSET(TblProd[[#This Row],[Boats/hr]],-1,0)</f>
        <v>75</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2250</v>
      </c>
      <c r="Q102" s="113">
        <v>10000</v>
      </c>
      <c r="R102" s="184"/>
      <c r="S102" s="113">
        <f ca="1">ROUNDDOWN(TblProd[[#This Row],[Raw Plat/hr]]*(1+TblProd[[#This Row],[Bonus Plat/hr]]),0)</f>
        <v>27229</v>
      </c>
      <c r="T102" s="113">
        <f ca="1">ROUND(TblProd[[#This Row],[Raw Food/hr]]*(1+TblProd[[#This Row],[Bonus Food/hr]])-TblProd[[#This Row],[Food decay]]-TblProd[[#This Row],[Food eaten]],0)</f>
        <v>-37</v>
      </c>
      <c r="U102" s="113">
        <f ca="1">ROUND(TblProd[[#This Row],[Raw Lumber/hr]]*(1+TblProd[[#This Row],[Bonus Lumber/hr]])-TblProd[[#This Row],[Lumber rot]],0)</f>
        <v>506</v>
      </c>
      <c r="V102" s="113">
        <f ca="1">ROUND(TblProd[[#This Row],[Raw Mana/hr]]*(1+TblProd[[#This Row],[Bonus Mana/hr]])-TblProd[[#This Row],[Mana drain]],0)</f>
        <v>180</v>
      </c>
      <c r="W102" s="113">
        <f ca="1">ROUNDDOWN(TblProd[[#This Row],[Raw Ore/hr]]*(1+TblProd[[#This Row],[Bonux Ore/hr]]),0)</f>
        <v>1800</v>
      </c>
      <c r="X102" s="113">
        <f ca="1">ROUNDDOWN(TblProd[[#This Row],[Raw Gems/hr]]*(1+TblProd[[#This Row],[Bonus Gems/hr]]),0)</f>
        <v>0</v>
      </c>
      <c r="Y102" s="201">
        <f ca="1">OFFSET(TblConstr[[#This Row],[Tot Doc]],1,0)*dock_boats_hr * (1 + tech_4_1*TblTech[[#This Row],[4-1]])</f>
        <v>1</v>
      </c>
      <c r="Z102" s="200"/>
      <c r="AA102" s="113">
        <f ca="1">TblPop[[#This Row],[Peasants]]*tax*TblPop[[#This Row],[Employment]] + (Construction!AZ103+Construction!BX103)*(alch_plat+(Magic!AL102&gt;0)*alchemist_flame_bonus)</f>
        <v>27229.5</v>
      </c>
      <c r="AB102" s="113">
        <f ca="1">TblConstr[[#This Row],[Tot Farm]]*farm_food + TblConstr[[#This Row],[Tot Doc]]*dock_food</f>
        <v>3100</v>
      </c>
      <c r="AC102" s="113">
        <f ca="1">TblConstr[[#This Row],[Tot Ly]]*ly_lumber + TblConstr[[#This Row],[Tot Hav]]*fh_lumber</f>
        <v>1000</v>
      </c>
      <c r="AD102" s="113">
        <f ca="1">OFFSET(TblConstr[[#This Row],[Tot Tow]],1,0)*(tower_mana + tech_4_5*TblTech[[#This Row],[4-5]])</f>
        <v>375</v>
      </c>
      <c r="AE102" s="113">
        <f ca="1">OFFSET(TblConstr[[#This Row],[Tot OM]],1,0)*om_ore+IF(race="Dwarf",ROUNDDOWN(TblMili[[#This Row],[Unit 2]]/2,0),)</f>
        <v>1800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878.72</v>
      </c>
      <c r="AP102" s="113">
        <f ca="1">(1+race_food_consumption)*TblPop[[#This Row],[Total]]*food_per_person*(1+tech_1_10*TblTech[[#This Row],[1-10]]+tech_7_5*TblTech[[#This Row],[7-5]])</f>
        <v>2490.75</v>
      </c>
      <c r="AQ102" s="113">
        <f ca="1">TblProd[[#This Row],[Lumber]]*lumber_rot * (1 + tech_2_1*TblTech[[#This Row],[2-1]] + tech_2_8*TblTech[[#This Row],[2-8]] + tech_5_2*TblTech[[#This Row],[5-2]])</f>
        <v>494.37</v>
      </c>
      <c r="AR102" s="113">
        <f ca="1">TblProd[[#This Row],[Mana]]*mana_drain * (1 + tech_2_1*TblTech[[#This Row],[2-1]] + tech_2_8*TblTech[[#This Row],[2-8]])</f>
        <v>194.89000000000001</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44408.833333333096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1104618</v>
      </c>
      <c r="BJ102" s="113">
        <f ca="1">TblProd[[#This Row],[Food]]</f>
        <v>87872</v>
      </c>
      <c r="BK102" s="113">
        <f ca="1">TblProd[[#This Row],[Lumber]]</f>
        <v>49437</v>
      </c>
      <c r="BL102" s="113">
        <f ca="1">TblProd[[#This Row],[Mana]]</f>
        <v>9744.5</v>
      </c>
      <c r="BM102" s="113">
        <f ca="1">TblProd[[#This Row],[Ore]]</f>
        <v>65990</v>
      </c>
    </row>
    <row r="103" spans="1:65" x14ac:dyDescent="0.2">
      <c r="A103" s="178">
        <v>28</v>
      </c>
      <c r="B103" s="198">
        <f ca="1">TblImps[[#This Row],[Time]]</f>
        <v>44408.87499999976</v>
      </c>
      <c r="C103" s="199"/>
      <c r="D103" s="200"/>
      <c r="E103" s="113">
        <f ca="1">TblConstr[[#This Row],[Land]]</f>
        <v>600</v>
      </c>
      <c r="F103" s="113">
        <f ca="1">TblPop[[#This Row],[Peasants]]</f>
        <v>5628</v>
      </c>
      <c r="G103" s="113">
        <f ca="1">TblMili[[#This Row],[Networth (2)]]</f>
        <v>29507.5</v>
      </c>
      <c r="H103" s="113">
        <f ca="1">OFFSET(TblProd[[#This Row],[Platinum]],-1,0)+OFFSET(TblProd[[#This Row],[Plat/hr]],-1,0) - TblProd[[#This Row],[Expenses Platinum]] + IF(TblProd[[#This Row],[Plat Bonus]],TblPop[[#This Row],[Peasants]]*4) + SUM(TblConstr[[#This Row],[Dest Hom]:[Dest Doc]])*TblConstr[[#This Row],[CPA Platinum -DB]]*tech_3_3_2*TblTech[[#This Row],[3-3]]</f>
        <v>1131847</v>
      </c>
      <c r="I103" s="113">
        <f ca="1">OFFSET(TblProd[[#This Row],[Food]],-1,0)+OFFSET(TblProd[[#This Row],[Food/hr]],-1,0)+ROUNDUP((TblConstr[[#This Row],[Farms]]*80+TblConstr[[#This Row],[Docks]]*35)*(1+OFFSET(TblProd[[#This Row],[Bonus Food/hr]],-1,0)),0)</f>
        <v>87835</v>
      </c>
      <c r="J103" s="113">
        <f ca="1">OFFSET(TblProd[[#This Row],[Lumber]],-1,0)+OFFSET(TblProd[[#This Row],[Lumber/hr]],-1,0) - TblProd[[#This Row],[Expenses Lumber]] + SUM(TblConstr[[#This Row],[Dest Hom]:[Dest Doc]])*TblConstr[[#This Row],[CPA Lumber -DB]]*tech_3_3_2*TblTech[[#This Row],[3-3]]</f>
        <v>49943</v>
      </c>
      <c r="K103" s="113">
        <f ca="1">OFFSET(TblProd[[#This Row],[Mana]],-1,0)+OFFSET(TblProd[[#This Row],[Mana/hr]],-1,0)- TblProd[[#This Row],[Expenses Mana]]</f>
        <v>9924.5</v>
      </c>
      <c r="L103" s="113">
        <f ca="1">OFFSET(TblProd[[#This Row],[Ore]],-1,0)+OFFSET(TblProd[[#This Row],[Ore/hr]],-1,0) -TblProd[[#This Row],[Expenses Ore]]</f>
        <v>67790</v>
      </c>
      <c r="M103" s="113">
        <f ca="1">OFFSET(TblProd[[#This Row],[Gems]],-1,0)+OFFSET(TblProd[[#This Row],[Gems/hr]],-1,0) - TblProd[[#This Row],[Expenses Gems]]</f>
        <v>0</v>
      </c>
      <c r="N103" s="113">
        <f ca="1">OFFSET(TblProd[[#This Row],[Boats]],-1,0)+OFFSET(TblProd[[#This Row],[Boats/hr]],-1,0)</f>
        <v>76</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2250</v>
      </c>
      <c r="Q103" s="113">
        <v>10000</v>
      </c>
      <c r="R103" s="184"/>
      <c r="S103" s="113">
        <f ca="1">ROUNDDOWN(TblProd[[#This Row],[Raw Plat/hr]]*(1+TblProd[[#This Row],[Bonus Plat/hr]]),0)</f>
        <v>27075</v>
      </c>
      <c r="T103" s="113">
        <f ca="1">ROUND(TblProd[[#This Row],[Raw Food/hr]]*(1+TblProd[[#This Row],[Bonus Food/hr]])-TblProd[[#This Row],[Food decay]]-TblProd[[#This Row],[Food eaten]],0)</f>
        <v>-37</v>
      </c>
      <c r="U103" s="113">
        <f ca="1">ROUND(TblProd[[#This Row],[Raw Lumber/hr]]*(1+TblProd[[#This Row],[Bonus Lumber/hr]])-TblProd[[#This Row],[Lumber rot]],0)</f>
        <v>501</v>
      </c>
      <c r="V103" s="113">
        <f ca="1">ROUND(TblProd[[#This Row],[Raw Mana/hr]]*(1+TblProd[[#This Row],[Bonus Mana/hr]])-TblProd[[#This Row],[Mana drain]],0)</f>
        <v>177</v>
      </c>
      <c r="W103" s="113">
        <f ca="1">ROUNDDOWN(TblProd[[#This Row],[Raw Ore/hr]]*(1+TblProd[[#This Row],[Bonux Ore/hr]]),0)</f>
        <v>1800</v>
      </c>
      <c r="X103" s="113">
        <f ca="1">ROUNDDOWN(TblProd[[#This Row],[Raw Gems/hr]]*(1+TblProd[[#This Row],[Bonus Gems/hr]]),0)</f>
        <v>0</v>
      </c>
      <c r="Y103" s="201">
        <f ca="1">OFFSET(TblConstr[[#This Row],[Tot Doc]],1,0)*dock_boats_hr * (1 + tech_4_1*TblTech[[#This Row],[4-1]])</f>
        <v>1</v>
      </c>
      <c r="Z103" s="200"/>
      <c r="AA103" s="113">
        <f ca="1">TblPop[[#This Row],[Peasants]]*tax*TblPop[[#This Row],[Employment]] + (Construction!AZ104+Construction!BX104)*(alch_plat+(Magic!AL103&gt;0)*alchemist_flame_bonus)</f>
        <v>27075.599999999999</v>
      </c>
      <c r="AB103" s="113">
        <f ca="1">TblConstr[[#This Row],[Tot Farm]]*farm_food + TblConstr[[#This Row],[Tot Doc]]*dock_food</f>
        <v>3100</v>
      </c>
      <c r="AC103" s="113">
        <f ca="1">TblConstr[[#This Row],[Tot Ly]]*ly_lumber + TblConstr[[#This Row],[Tot Hav]]*fh_lumber</f>
        <v>1000</v>
      </c>
      <c r="AD103" s="113">
        <f ca="1">OFFSET(TblConstr[[#This Row],[Tot Tow]],1,0)*(tower_mana + tech_4_5*TblTech[[#This Row],[4-5]])</f>
        <v>375</v>
      </c>
      <c r="AE103" s="113">
        <f ca="1">OFFSET(TblConstr[[#This Row],[Tot OM]],1,0)*om_ore+IF(race="Dwarf",ROUNDDOWN(TblMili[[#This Row],[Unit 2]]/2,0),)</f>
        <v>1800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878.35</v>
      </c>
      <c r="AP103" s="113">
        <f ca="1">(1+race_food_consumption)*TblPop[[#This Row],[Total]]*food_per_person*(1+tech_1_10*TblTech[[#This Row],[1-10]]+tech_7_5*TblTech[[#This Row],[7-5]])</f>
        <v>2490.75</v>
      </c>
      <c r="AQ103" s="113">
        <f ca="1">TblProd[[#This Row],[Lumber]]*lumber_rot * (1 + tech_2_1*TblTech[[#This Row],[2-1]] + tech_2_8*TblTech[[#This Row],[2-8]] + tech_5_2*TblTech[[#This Row],[5-2]])</f>
        <v>499.43</v>
      </c>
      <c r="AR103" s="113">
        <f ca="1">TblProd[[#This Row],[Mana]]*mana_drain * (1 + tech_2_1*TblTech[[#This Row],[2-1]] + tech_2_8*TblTech[[#This Row],[2-8]])</f>
        <v>198.49</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44408.87499999976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1131847</v>
      </c>
      <c r="BJ103" s="113">
        <f ca="1">TblProd[[#This Row],[Food]]</f>
        <v>87835</v>
      </c>
      <c r="BK103" s="113">
        <f ca="1">TblProd[[#This Row],[Lumber]]</f>
        <v>49943</v>
      </c>
      <c r="BL103" s="113">
        <f ca="1">TblProd[[#This Row],[Mana]]</f>
        <v>9924.5</v>
      </c>
      <c r="BM103" s="113">
        <f ca="1">TblProd[[#This Row],[Ore]]</f>
        <v>67790</v>
      </c>
    </row>
    <row r="104" spans="1:65" x14ac:dyDescent="0.2">
      <c r="A104" s="178">
        <v>29</v>
      </c>
      <c r="B104" s="198">
        <f ca="1">TblImps[[#This Row],[Time]]</f>
        <v>44408.916666666424</v>
      </c>
      <c r="C104" s="199"/>
      <c r="D104" s="200"/>
      <c r="E104" s="113">
        <f ca="1">TblConstr[[#This Row],[Land]]</f>
        <v>600</v>
      </c>
      <c r="F104" s="113">
        <f ca="1">TblPop[[#This Row],[Peasants]]</f>
        <v>5572</v>
      </c>
      <c r="G104" s="113">
        <f ca="1">TblMili[[#This Row],[Networth (2)]]</f>
        <v>29507.5</v>
      </c>
      <c r="H104" s="113">
        <f ca="1">OFFSET(TblProd[[#This Row],[Platinum]],-1,0)+OFFSET(TblProd[[#This Row],[Plat/hr]],-1,0) - TblProd[[#This Row],[Expenses Platinum]] + IF(TblProd[[#This Row],[Plat Bonus]],TblPop[[#This Row],[Peasants]]*4) + SUM(TblConstr[[#This Row],[Dest Hom]:[Dest Doc]])*TblConstr[[#This Row],[CPA Platinum -DB]]*tech_3_3_2*TblTech[[#This Row],[3-3]]</f>
        <v>1158922</v>
      </c>
      <c r="I104" s="113">
        <f ca="1">OFFSET(TblProd[[#This Row],[Food]],-1,0)+OFFSET(TblProd[[#This Row],[Food/hr]],-1,0)+ROUNDUP((TblConstr[[#This Row],[Farms]]*80+TblConstr[[#This Row],[Docks]]*35)*(1+OFFSET(TblProd[[#This Row],[Bonus Food/hr]],-1,0)),0)</f>
        <v>87798</v>
      </c>
      <c r="J104" s="113">
        <f ca="1">OFFSET(TblProd[[#This Row],[Lumber]],-1,0)+OFFSET(TblProd[[#This Row],[Lumber/hr]],-1,0) - TblProd[[#This Row],[Expenses Lumber]] + SUM(TblConstr[[#This Row],[Dest Hom]:[Dest Doc]])*TblConstr[[#This Row],[CPA Lumber -DB]]*tech_3_3_2*TblTech[[#This Row],[3-3]]</f>
        <v>50444</v>
      </c>
      <c r="K104" s="113">
        <f ca="1">OFFSET(TblProd[[#This Row],[Mana]],-1,0)+OFFSET(TblProd[[#This Row],[Mana/hr]],-1,0)- TblProd[[#This Row],[Expenses Mana]]</f>
        <v>10101.5</v>
      </c>
      <c r="L104" s="113">
        <f ca="1">OFFSET(TblProd[[#This Row],[Ore]],-1,0)+OFFSET(TblProd[[#This Row],[Ore/hr]],-1,0) -TblProd[[#This Row],[Expenses Ore]]</f>
        <v>69590</v>
      </c>
      <c r="M104" s="113">
        <f ca="1">OFFSET(TblProd[[#This Row],[Gems]],-1,0)+OFFSET(TblProd[[#This Row],[Gems/hr]],-1,0) - TblProd[[#This Row],[Expenses Gems]]</f>
        <v>0</v>
      </c>
      <c r="N104" s="113">
        <f ca="1">OFFSET(TblProd[[#This Row],[Boats]],-1,0)+OFFSET(TblProd[[#This Row],[Boats/hr]],-1,0)</f>
        <v>77</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2250</v>
      </c>
      <c r="Q104" s="113">
        <v>10000</v>
      </c>
      <c r="R104" s="184"/>
      <c r="S104" s="113">
        <f ca="1">ROUNDDOWN(TblProd[[#This Row],[Raw Plat/hr]]*(1+TblProd[[#This Row],[Bonus Plat/hr]]),0)</f>
        <v>26924</v>
      </c>
      <c r="T104" s="113">
        <f ca="1">ROUND(TblProd[[#This Row],[Raw Food/hr]]*(1+TblProd[[#This Row],[Bonus Food/hr]])-TblProd[[#This Row],[Food decay]]-TblProd[[#This Row],[Food eaten]],0)</f>
        <v>-36</v>
      </c>
      <c r="U104" s="113">
        <f ca="1">ROUND(TblProd[[#This Row],[Raw Lumber/hr]]*(1+TblProd[[#This Row],[Bonus Lumber/hr]])-TblProd[[#This Row],[Lumber rot]],0)</f>
        <v>496</v>
      </c>
      <c r="V104" s="113">
        <f ca="1">ROUND(TblProd[[#This Row],[Raw Mana/hr]]*(1+TblProd[[#This Row],[Bonus Mana/hr]])-TblProd[[#This Row],[Mana drain]],0)</f>
        <v>173</v>
      </c>
      <c r="W104" s="113">
        <f ca="1">ROUNDDOWN(TblProd[[#This Row],[Raw Ore/hr]]*(1+TblProd[[#This Row],[Bonux Ore/hr]]),0)</f>
        <v>1800</v>
      </c>
      <c r="X104" s="113">
        <f ca="1">ROUNDDOWN(TblProd[[#This Row],[Raw Gems/hr]]*(1+TblProd[[#This Row],[Bonus Gems/hr]]),0)</f>
        <v>0</v>
      </c>
      <c r="Y104" s="201">
        <f ca="1">OFFSET(TblConstr[[#This Row],[Tot Doc]],1,0)*dock_boats_hr * (1 + tech_4_1*TblTech[[#This Row],[4-1]])</f>
        <v>1</v>
      </c>
      <c r="Z104" s="200"/>
      <c r="AA104" s="113">
        <f ca="1">TblPop[[#This Row],[Peasants]]*tax*TblPop[[#This Row],[Employment]] + (Construction!AZ105+Construction!BX105)*(alch_plat+(Magic!AL104&gt;0)*alchemist_flame_bonus)</f>
        <v>26924.400000000001</v>
      </c>
      <c r="AB104" s="113">
        <f ca="1">TblConstr[[#This Row],[Tot Farm]]*farm_food + TblConstr[[#This Row],[Tot Doc]]*dock_food</f>
        <v>3100</v>
      </c>
      <c r="AC104" s="113">
        <f ca="1">TblConstr[[#This Row],[Tot Ly]]*ly_lumber + TblConstr[[#This Row],[Tot Hav]]*fh_lumber</f>
        <v>1000</v>
      </c>
      <c r="AD104" s="113">
        <f ca="1">OFFSET(TblConstr[[#This Row],[Tot Tow]],1,0)*(tower_mana + tech_4_5*TblTech[[#This Row],[4-5]])</f>
        <v>375</v>
      </c>
      <c r="AE104" s="113">
        <f ca="1">OFFSET(TblConstr[[#This Row],[Tot OM]],1,0)*om_ore+IF(race="Dwarf",ROUNDDOWN(TblMili[[#This Row],[Unit 2]]/2,0),)</f>
        <v>1800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877.98</v>
      </c>
      <c r="AP104" s="113">
        <f ca="1">(1+race_food_consumption)*TblPop[[#This Row],[Total]]*food_per_person*(1+tech_1_10*TblTech[[#This Row],[1-10]]+tech_7_5*TblTech[[#This Row],[7-5]])</f>
        <v>2490.75</v>
      </c>
      <c r="AQ104" s="113">
        <f ca="1">TblProd[[#This Row],[Lumber]]*lumber_rot * (1 + tech_2_1*TblTech[[#This Row],[2-1]] + tech_2_8*TblTech[[#This Row],[2-8]] + tech_5_2*TblTech[[#This Row],[5-2]])</f>
        <v>504.44</v>
      </c>
      <c r="AR104" s="113">
        <f ca="1">TblProd[[#This Row],[Mana]]*mana_drain * (1 + tech_2_1*TblTech[[#This Row],[2-1]] + tech_2_8*TblTech[[#This Row],[2-8]])</f>
        <v>202.03</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44408.916666666424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1158922</v>
      </c>
      <c r="BJ104" s="113">
        <f ca="1">TblProd[[#This Row],[Food]]</f>
        <v>87798</v>
      </c>
      <c r="BK104" s="113">
        <f ca="1">TblProd[[#This Row],[Lumber]]</f>
        <v>50444</v>
      </c>
      <c r="BL104" s="113">
        <f ca="1">TblProd[[#This Row],[Mana]]</f>
        <v>10101.5</v>
      </c>
      <c r="BM104" s="113">
        <f ca="1">TblProd[[#This Row],[Ore]]</f>
        <v>69590</v>
      </c>
    </row>
    <row r="105" spans="1:65" x14ac:dyDescent="0.2">
      <c r="A105" s="178">
        <v>30</v>
      </c>
      <c r="B105" s="198">
        <f ca="1">TblImps[[#This Row],[Time]]</f>
        <v>44408.958333333088</v>
      </c>
      <c r="C105" s="199"/>
      <c r="D105" s="200"/>
      <c r="E105" s="113">
        <f ca="1">TblConstr[[#This Row],[Land]]</f>
        <v>600</v>
      </c>
      <c r="F105" s="113">
        <f ca="1">TblPop[[#This Row],[Peasants]]</f>
        <v>5516</v>
      </c>
      <c r="G105" s="113">
        <f ca="1">TblMili[[#This Row],[Networth (2)]]</f>
        <v>29507.5</v>
      </c>
      <c r="H105" s="113">
        <f ca="1">OFFSET(TblProd[[#This Row],[Platinum]],-1,0)+OFFSET(TblProd[[#This Row],[Plat/hr]],-1,0) - TblProd[[#This Row],[Expenses Platinum]] + IF(TblProd[[#This Row],[Plat Bonus]],TblPop[[#This Row],[Peasants]]*4) + SUM(TblConstr[[#This Row],[Dest Hom]:[Dest Doc]])*TblConstr[[#This Row],[CPA Platinum -DB]]*tech_3_3_2*TblTech[[#This Row],[3-3]]</f>
        <v>1185846</v>
      </c>
      <c r="I105" s="113">
        <f ca="1">OFFSET(TblProd[[#This Row],[Food]],-1,0)+OFFSET(TblProd[[#This Row],[Food/hr]],-1,0)+ROUNDUP((TblConstr[[#This Row],[Farms]]*80+TblConstr[[#This Row],[Docks]]*35)*(1+OFFSET(TblProd[[#This Row],[Bonus Food/hr]],-1,0)),0)</f>
        <v>87762</v>
      </c>
      <c r="J105" s="113">
        <f ca="1">OFFSET(TblProd[[#This Row],[Lumber]],-1,0)+OFFSET(TblProd[[#This Row],[Lumber/hr]],-1,0) - TblProd[[#This Row],[Expenses Lumber]] + SUM(TblConstr[[#This Row],[Dest Hom]:[Dest Doc]])*TblConstr[[#This Row],[CPA Lumber -DB]]*tech_3_3_2*TblTech[[#This Row],[3-3]]</f>
        <v>50940</v>
      </c>
      <c r="K105" s="113">
        <f ca="1">OFFSET(TblProd[[#This Row],[Mana]],-1,0)+OFFSET(TblProd[[#This Row],[Mana/hr]],-1,0)- TblProd[[#This Row],[Expenses Mana]]</f>
        <v>10274.5</v>
      </c>
      <c r="L105" s="113">
        <f ca="1">OFFSET(TblProd[[#This Row],[Ore]],-1,0)+OFFSET(TblProd[[#This Row],[Ore/hr]],-1,0) -TblProd[[#This Row],[Expenses Ore]]</f>
        <v>71390</v>
      </c>
      <c r="M105" s="113">
        <f ca="1">OFFSET(TblProd[[#This Row],[Gems]],-1,0)+OFFSET(TblProd[[#This Row],[Gems/hr]],-1,0) - TblProd[[#This Row],[Expenses Gems]]</f>
        <v>0</v>
      </c>
      <c r="N105" s="113">
        <f ca="1">OFFSET(TblProd[[#This Row],[Boats]],-1,0)+OFFSET(TblProd[[#This Row],[Boats/hr]],-1,0)</f>
        <v>78</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2250</v>
      </c>
      <c r="Q105" s="113">
        <v>10000</v>
      </c>
      <c r="R105" s="184"/>
      <c r="S105" s="113">
        <f ca="1">ROUNDDOWN(TblProd[[#This Row],[Raw Plat/hr]]*(1+TblProd[[#This Row],[Bonus Plat/hr]]),0)</f>
        <v>26773</v>
      </c>
      <c r="T105" s="113">
        <f ca="1">ROUND(TblProd[[#This Row],[Raw Food/hr]]*(1+TblProd[[#This Row],[Bonus Food/hr]])-TblProd[[#This Row],[Food decay]]-TblProd[[#This Row],[Food eaten]],0)</f>
        <v>-36</v>
      </c>
      <c r="U105" s="113">
        <f ca="1">ROUND(TblProd[[#This Row],[Raw Lumber/hr]]*(1+TblProd[[#This Row],[Bonus Lumber/hr]])-TblProd[[#This Row],[Lumber rot]],0)</f>
        <v>491</v>
      </c>
      <c r="V105" s="113">
        <f ca="1">ROUND(TblProd[[#This Row],[Raw Mana/hr]]*(1+TblProd[[#This Row],[Bonus Mana/hr]])-TblProd[[#This Row],[Mana drain]],0)</f>
        <v>170</v>
      </c>
      <c r="W105" s="113">
        <f ca="1">ROUNDDOWN(TblProd[[#This Row],[Raw Ore/hr]]*(1+TblProd[[#This Row],[Bonux Ore/hr]]),0)</f>
        <v>1800</v>
      </c>
      <c r="X105" s="113">
        <f ca="1">ROUNDDOWN(TblProd[[#This Row],[Raw Gems/hr]]*(1+TblProd[[#This Row],[Bonus Gems/hr]]),0)</f>
        <v>0</v>
      </c>
      <c r="Y105" s="201">
        <f ca="1">OFFSET(TblConstr[[#This Row],[Tot Doc]],1,0)*dock_boats_hr * (1 + tech_4_1*TblTech[[#This Row],[4-1]])</f>
        <v>1</v>
      </c>
      <c r="Z105" s="200"/>
      <c r="AA105" s="113">
        <f ca="1">TblPop[[#This Row],[Peasants]]*tax*TblPop[[#This Row],[Employment]] + (Construction!AZ106+Construction!BX106)*(alch_plat+(Magic!AL105&gt;0)*alchemist_flame_bonus)</f>
        <v>26773.200000000001</v>
      </c>
      <c r="AB105" s="113">
        <f ca="1">TblConstr[[#This Row],[Tot Farm]]*farm_food + TblConstr[[#This Row],[Tot Doc]]*dock_food</f>
        <v>3100</v>
      </c>
      <c r="AC105" s="113">
        <f ca="1">TblConstr[[#This Row],[Tot Ly]]*ly_lumber + TblConstr[[#This Row],[Tot Hav]]*fh_lumber</f>
        <v>1000</v>
      </c>
      <c r="AD105" s="113">
        <f ca="1">OFFSET(TblConstr[[#This Row],[Tot Tow]],1,0)*(tower_mana + tech_4_5*TblTech[[#This Row],[4-5]])</f>
        <v>375</v>
      </c>
      <c r="AE105" s="113">
        <f ca="1">OFFSET(TblConstr[[#This Row],[Tot OM]],1,0)*om_ore+IF(race="Dwarf",ROUNDDOWN(TblMili[[#This Row],[Unit 2]]/2,0),)</f>
        <v>1800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877.62</v>
      </c>
      <c r="AP105" s="113">
        <f ca="1">(1+race_food_consumption)*TblPop[[#This Row],[Total]]*food_per_person*(1+tech_1_10*TblTech[[#This Row],[1-10]]+tech_7_5*TblTech[[#This Row],[7-5]])</f>
        <v>2490.75</v>
      </c>
      <c r="AQ105" s="113">
        <f ca="1">TblProd[[#This Row],[Lumber]]*lumber_rot * (1 + tech_2_1*TblTech[[#This Row],[2-1]] + tech_2_8*TblTech[[#This Row],[2-8]] + tech_5_2*TblTech[[#This Row],[5-2]])</f>
        <v>509.40000000000003</v>
      </c>
      <c r="AR105" s="113">
        <f ca="1">TblProd[[#This Row],[Mana]]*mana_drain * (1 + tech_2_1*TblTech[[#This Row],[2-1]] + tech_2_8*TblTech[[#This Row],[2-8]])</f>
        <v>205.49</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44408.958333333088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1185846</v>
      </c>
      <c r="BJ105" s="113">
        <f ca="1">TblProd[[#This Row],[Food]]</f>
        <v>87762</v>
      </c>
      <c r="BK105" s="113">
        <f ca="1">TblProd[[#This Row],[Lumber]]</f>
        <v>50940</v>
      </c>
      <c r="BL105" s="113">
        <f ca="1">TblProd[[#This Row],[Mana]]</f>
        <v>10274.5</v>
      </c>
      <c r="BM105" s="113">
        <f ca="1">TblProd[[#This Row],[Ore]]</f>
        <v>71390</v>
      </c>
    </row>
    <row r="106" spans="1:65" x14ac:dyDescent="0.2">
      <c r="A106" s="178">
        <v>31</v>
      </c>
      <c r="B106" s="198">
        <f ca="1">TblImps[[#This Row],[Time]]</f>
        <v>44408.999999999753</v>
      </c>
      <c r="C106" s="199"/>
      <c r="D106" s="200"/>
      <c r="E106" s="113">
        <f ca="1">TblConstr[[#This Row],[Land]]</f>
        <v>600</v>
      </c>
      <c r="F106" s="113">
        <f ca="1">TblPop[[#This Row],[Peasants]]</f>
        <v>5461</v>
      </c>
      <c r="G106" s="113">
        <f ca="1">TblMili[[#This Row],[Networth (2)]]</f>
        <v>29507.5</v>
      </c>
      <c r="H106" s="113">
        <f ca="1">OFFSET(TblProd[[#This Row],[Platinum]],-1,0)+OFFSET(TblProd[[#This Row],[Plat/hr]],-1,0) - TblProd[[#This Row],[Expenses Platinum]] + IF(TblProd[[#This Row],[Plat Bonus]],TblPop[[#This Row],[Peasants]]*4) + SUM(TblConstr[[#This Row],[Dest Hom]:[Dest Doc]])*TblConstr[[#This Row],[CPA Platinum -DB]]*tech_3_3_2*TblTech[[#This Row],[3-3]]</f>
        <v>1212619</v>
      </c>
      <c r="I106" s="113">
        <f ca="1">OFFSET(TblProd[[#This Row],[Food]],-1,0)+OFFSET(TblProd[[#This Row],[Food/hr]],-1,0)+ROUNDUP((TblConstr[[#This Row],[Farms]]*80+TblConstr[[#This Row],[Docks]]*35)*(1+OFFSET(TblProd[[#This Row],[Bonus Food/hr]],-1,0)),0)</f>
        <v>87726</v>
      </c>
      <c r="J106" s="113">
        <f ca="1">OFFSET(TblProd[[#This Row],[Lumber]],-1,0)+OFFSET(TblProd[[#This Row],[Lumber/hr]],-1,0) - TblProd[[#This Row],[Expenses Lumber]] + SUM(TblConstr[[#This Row],[Dest Hom]:[Dest Doc]])*TblConstr[[#This Row],[CPA Lumber -DB]]*tech_3_3_2*TblTech[[#This Row],[3-3]]</f>
        <v>51431</v>
      </c>
      <c r="K106" s="113">
        <f ca="1">OFFSET(TblProd[[#This Row],[Mana]],-1,0)+OFFSET(TblProd[[#This Row],[Mana/hr]],-1,0)- TblProd[[#This Row],[Expenses Mana]]</f>
        <v>10444.5</v>
      </c>
      <c r="L106" s="113">
        <f ca="1">OFFSET(TblProd[[#This Row],[Ore]],-1,0)+OFFSET(TblProd[[#This Row],[Ore/hr]],-1,0) -TblProd[[#This Row],[Expenses Ore]]</f>
        <v>73190</v>
      </c>
      <c r="M106" s="113">
        <f ca="1">OFFSET(TblProd[[#This Row],[Gems]],-1,0)+OFFSET(TblProd[[#This Row],[Gems/hr]],-1,0) - TblProd[[#This Row],[Expenses Gems]]</f>
        <v>0</v>
      </c>
      <c r="N106" s="113">
        <f ca="1">OFFSET(TblProd[[#This Row],[Boats]],-1,0)+OFFSET(TblProd[[#This Row],[Boats/hr]],-1,0)</f>
        <v>79</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2250</v>
      </c>
      <c r="Q106" s="113">
        <v>10000</v>
      </c>
      <c r="R106" s="184"/>
      <c r="S106" s="113">
        <f ca="1">ROUNDDOWN(TblProd[[#This Row],[Raw Plat/hr]]*(1+TblProd[[#This Row],[Bonus Plat/hr]]),0)</f>
        <v>26624</v>
      </c>
      <c r="T106" s="113">
        <f ca="1">ROUND(TblProd[[#This Row],[Raw Food/hr]]*(1+TblProd[[#This Row],[Bonus Food/hr]])-TblProd[[#This Row],[Food decay]]-TblProd[[#This Row],[Food eaten]],0)</f>
        <v>-36</v>
      </c>
      <c r="U106" s="113">
        <f ca="1">ROUND(TblProd[[#This Row],[Raw Lumber/hr]]*(1+TblProd[[#This Row],[Bonus Lumber/hr]])-TblProd[[#This Row],[Lumber rot]],0)</f>
        <v>486</v>
      </c>
      <c r="V106" s="113">
        <f ca="1">ROUND(TblProd[[#This Row],[Raw Mana/hr]]*(1+TblProd[[#This Row],[Bonus Mana/hr]])-TblProd[[#This Row],[Mana drain]],0)</f>
        <v>166</v>
      </c>
      <c r="W106" s="113">
        <f ca="1">ROUNDDOWN(TblProd[[#This Row],[Raw Ore/hr]]*(1+TblProd[[#This Row],[Bonux Ore/hr]]),0)</f>
        <v>1800</v>
      </c>
      <c r="X106" s="113">
        <f ca="1">ROUNDDOWN(TblProd[[#This Row],[Raw Gems/hr]]*(1+TblProd[[#This Row],[Bonus Gems/hr]]),0)</f>
        <v>0</v>
      </c>
      <c r="Y106" s="201">
        <f ca="1">OFFSET(TblConstr[[#This Row],[Tot Doc]],1,0)*dock_boats_hr * (1 + tech_4_1*TblTech[[#This Row],[4-1]])</f>
        <v>1</v>
      </c>
      <c r="Z106" s="200"/>
      <c r="AA106" s="113">
        <f ca="1">TblPop[[#This Row],[Peasants]]*tax*TblPop[[#This Row],[Employment]] + (Construction!AZ107+Construction!BX107)*(alch_plat+(Magic!AL106&gt;0)*alchemist_flame_bonus)</f>
        <v>26624.7</v>
      </c>
      <c r="AB106" s="113">
        <f ca="1">TblConstr[[#This Row],[Tot Farm]]*farm_food + TblConstr[[#This Row],[Tot Doc]]*dock_food</f>
        <v>3100</v>
      </c>
      <c r="AC106" s="113">
        <f ca="1">TblConstr[[#This Row],[Tot Ly]]*ly_lumber + TblConstr[[#This Row],[Tot Hav]]*fh_lumber</f>
        <v>1000</v>
      </c>
      <c r="AD106" s="113">
        <f ca="1">OFFSET(TblConstr[[#This Row],[Tot Tow]],1,0)*(tower_mana + tech_4_5*TblTech[[#This Row],[4-5]])</f>
        <v>375</v>
      </c>
      <c r="AE106" s="113">
        <f ca="1">OFFSET(TblConstr[[#This Row],[Tot OM]],1,0)*om_ore+IF(race="Dwarf",ROUNDDOWN(TblMili[[#This Row],[Unit 2]]/2,0),)</f>
        <v>1800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877.26</v>
      </c>
      <c r="AP106" s="113">
        <f ca="1">(1+race_food_consumption)*TblPop[[#This Row],[Total]]*food_per_person*(1+tech_1_10*TblTech[[#This Row],[1-10]]+tech_7_5*TblTech[[#This Row],[7-5]])</f>
        <v>2490.75</v>
      </c>
      <c r="AQ106" s="113">
        <f ca="1">TblProd[[#This Row],[Lumber]]*lumber_rot * (1 + tech_2_1*TblTech[[#This Row],[2-1]] + tech_2_8*TblTech[[#This Row],[2-8]] + tech_5_2*TblTech[[#This Row],[5-2]])</f>
        <v>514.31000000000006</v>
      </c>
      <c r="AR106" s="113">
        <f ca="1">TblProd[[#This Row],[Mana]]*mana_drain * (1 + tech_2_1*TblTech[[#This Row],[2-1]] + tech_2_8*TblTech[[#This Row],[2-8]])</f>
        <v>208.89000000000001</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44408.999999999753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1212619</v>
      </c>
      <c r="BJ106" s="113">
        <f ca="1">TblProd[[#This Row],[Food]]</f>
        <v>87726</v>
      </c>
      <c r="BK106" s="113">
        <f ca="1">TblProd[[#This Row],[Lumber]]</f>
        <v>51431</v>
      </c>
      <c r="BL106" s="113">
        <f ca="1">TblProd[[#This Row],[Mana]]</f>
        <v>10444.5</v>
      </c>
      <c r="BM106" s="113">
        <f ca="1">TblProd[[#This Row],[Ore]]</f>
        <v>73190</v>
      </c>
    </row>
    <row r="107" spans="1:65" x14ac:dyDescent="0.2">
      <c r="A107" s="178">
        <v>32</v>
      </c>
      <c r="B107" s="198">
        <f ca="1">TblImps[[#This Row],[Time]]</f>
        <v>44409.041666666417</v>
      </c>
      <c r="C107" s="199"/>
      <c r="D107" s="200"/>
      <c r="E107" s="113">
        <f ca="1">TblConstr[[#This Row],[Land]]</f>
        <v>600</v>
      </c>
      <c r="F107" s="113">
        <f ca="1">TblPop[[#This Row],[Peasants]]</f>
        <v>5406</v>
      </c>
      <c r="G107" s="113">
        <f ca="1">TblMili[[#This Row],[Networth (2)]]</f>
        <v>29507.5</v>
      </c>
      <c r="H107" s="113">
        <f ca="1">OFFSET(TblProd[[#This Row],[Platinum]],-1,0)+OFFSET(TblProd[[#This Row],[Plat/hr]],-1,0) - TblProd[[#This Row],[Expenses Platinum]] + IF(TblProd[[#This Row],[Plat Bonus]],TblPop[[#This Row],[Peasants]]*4) + SUM(TblConstr[[#This Row],[Dest Hom]:[Dest Doc]])*TblConstr[[#This Row],[CPA Platinum -DB]]*tech_3_3_2*TblTech[[#This Row],[3-3]]</f>
        <v>1239243</v>
      </c>
      <c r="I107" s="113">
        <f ca="1">OFFSET(TblProd[[#This Row],[Food]],-1,0)+OFFSET(TblProd[[#This Row],[Food/hr]],-1,0)+ROUNDUP((TblConstr[[#This Row],[Farms]]*80+TblConstr[[#This Row],[Docks]]*35)*(1+OFFSET(TblProd[[#This Row],[Bonus Food/hr]],-1,0)),0)</f>
        <v>87690</v>
      </c>
      <c r="J107" s="113">
        <f ca="1">OFFSET(TblProd[[#This Row],[Lumber]],-1,0)+OFFSET(TblProd[[#This Row],[Lumber/hr]],-1,0) - TblProd[[#This Row],[Expenses Lumber]] + SUM(TblConstr[[#This Row],[Dest Hom]:[Dest Doc]])*TblConstr[[#This Row],[CPA Lumber -DB]]*tech_3_3_2*TblTech[[#This Row],[3-3]]</f>
        <v>51917</v>
      </c>
      <c r="K107" s="113">
        <f ca="1">OFFSET(TblProd[[#This Row],[Mana]],-1,0)+OFFSET(TblProd[[#This Row],[Mana/hr]],-1,0)- TblProd[[#This Row],[Expenses Mana]]</f>
        <v>10610.5</v>
      </c>
      <c r="L107" s="113">
        <f ca="1">OFFSET(TblProd[[#This Row],[Ore]],-1,0)+OFFSET(TblProd[[#This Row],[Ore/hr]],-1,0) -TblProd[[#This Row],[Expenses Ore]]</f>
        <v>74990</v>
      </c>
      <c r="M107" s="113">
        <f ca="1">OFFSET(TblProd[[#This Row],[Gems]],-1,0)+OFFSET(TblProd[[#This Row],[Gems/hr]],-1,0) - TblProd[[#This Row],[Expenses Gems]]</f>
        <v>0</v>
      </c>
      <c r="N107" s="113">
        <f ca="1">OFFSET(TblProd[[#This Row],[Boats]],-1,0)+OFFSET(TblProd[[#This Row],[Boats/hr]],-1,0)</f>
        <v>80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2250</v>
      </c>
      <c r="Q107" s="113">
        <v>10000</v>
      </c>
      <c r="R107" s="184"/>
      <c r="S107" s="113">
        <f ca="1">ROUNDDOWN(TblProd[[#This Row],[Raw Plat/hr]]*(1+TblProd[[#This Row],[Bonus Plat/hr]]),0)</f>
        <v>26476</v>
      </c>
      <c r="T107" s="113">
        <f ca="1">ROUND(TblProd[[#This Row],[Raw Food/hr]]*(1+TblProd[[#This Row],[Bonus Food/hr]])-TblProd[[#This Row],[Food decay]]-TblProd[[#This Row],[Food eaten]],0)</f>
        <v>-35</v>
      </c>
      <c r="U107" s="113">
        <f ca="1">ROUND(TblProd[[#This Row],[Raw Lumber/hr]]*(1+TblProd[[#This Row],[Bonus Lumber/hr]])-TblProd[[#This Row],[Lumber rot]],0)</f>
        <v>481</v>
      </c>
      <c r="V107" s="113">
        <f ca="1">ROUND(TblProd[[#This Row],[Raw Mana/hr]]*(1+TblProd[[#This Row],[Bonus Mana/hr]])-TblProd[[#This Row],[Mana drain]],0)</f>
        <v>163</v>
      </c>
      <c r="W107" s="113">
        <f ca="1">ROUNDDOWN(TblProd[[#This Row],[Raw Ore/hr]]*(1+TblProd[[#This Row],[Bonux Ore/hr]]),0)</f>
        <v>1800</v>
      </c>
      <c r="X107" s="113">
        <f ca="1">ROUNDDOWN(TblProd[[#This Row],[Raw Gems/hr]]*(1+TblProd[[#This Row],[Bonus Gems/hr]]),0)</f>
        <v>0</v>
      </c>
      <c r="Y107" s="201">
        <f ca="1">OFFSET(TblConstr[[#This Row],[Tot Doc]],1,0)*dock_boats_hr * (1 + tech_4_1*TblTech[[#This Row],[4-1]])</f>
        <v>1</v>
      </c>
      <c r="Z107" s="200"/>
      <c r="AA107" s="113">
        <f ca="1">TblPop[[#This Row],[Peasants]]*tax*TblPop[[#This Row],[Employment]] + (Construction!AZ108+Construction!BX108)*(alch_plat+(Magic!AL107&gt;0)*alchemist_flame_bonus)</f>
        <v>26476.2</v>
      </c>
      <c r="AB107" s="113">
        <f ca="1">TblConstr[[#This Row],[Tot Farm]]*farm_food + TblConstr[[#This Row],[Tot Doc]]*dock_food</f>
        <v>3100</v>
      </c>
      <c r="AC107" s="113">
        <f ca="1">TblConstr[[#This Row],[Tot Ly]]*ly_lumber + TblConstr[[#This Row],[Tot Hav]]*fh_lumber</f>
        <v>1000</v>
      </c>
      <c r="AD107" s="113">
        <f ca="1">OFFSET(TblConstr[[#This Row],[Tot Tow]],1,0)*(tower_mana + tech_4_5*TblTech[[#This Row],[4-5]])</f>
        <v>375</v>
      </c>
      <c r="AE107" s="113">
        <f ca="1">OFFSET(TblConstr[[#This Row],[Tot OM]],1,0)*om_ore+IF(race="Dwarf",ROUNDDOWN(TblMili[[#This Row],[Unit 2]]/2,0),)</f>
        <v>1800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876.9</v>
      </c>
      <c r="AP107" s="113">
        <f ca="1">(1+race_food_consumption)*TblPop[[#This Row],[Total]]*food_per_person*(1+tech_1_10*TblTech[[#This Row],[1-10]]+tech_7_5*TblTech[[#This Row],[7-5]])</f>
        <v>2490.75</v>
      </c>
      <c r="AQ107" s="113">
        <f ca="1">TblProd[[#This Row],[Lumber]]*lumber_rot * (1 + tech_2_1*TblTech[[#This Row],[2-1]] + tech_2_8*TblTech[[#This Row],[2-8]] + tech_5_2*TblTech[[#This Row],[5-2]])</f>
        <v>519.16999999999996</v>
      </c>
      <c r="AR107" s="113">
        <f ca="1">TblProd[[#This Row],[Mana]]*mana_drain * (1 + tech_2_1*TblTech[[#This Row],[2-1]] + tech_2_8*TblTech[[#This Row],[2-8]])</f>
        <v>212.21</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44409.041666666417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1239243</v>
      </c>
      <c r="BJ107" s="113">
        <f ca="1">TblProd[[#This Row],[Food]]</f>
        <v>87690</v>
      </c>
      <c r="BK107" s="113">
        <f ca="1">TblProd[[#This Row],[Lumber]]</f>
        <v>51917</v>
      </c>
      <c r="BL107" s="113">
        <f ca="1">TblProd[[#This Row],[Mana]]</f>
        <v>10610.5</v>
      </c>
      <c r="BM107" s="113">
        <f ca="1">TblProd[[#This Row],[Ore]]</f>
        <v>74990</v>
      </c>
    </row>
    <row r="108" spans="1:65" x14ac:dyDescent="0.2">
      <c r="A108" s="178">
        <v>33</v>
      </c>
      <c r="B108" s="198">
        <f ca="1">TblImps[[#This Row],[Time]]</f>
        <v>44409.083333333081</v>
      </c>
      <c r="C108" s="199"/>
      <c r="D108" s="200"/>
      <c r="E108" s="113">
        <f ca="1">TblConstr[[#This Row],[Land]]</f>
        <v>600</v>
      </c>
      <c r="F108" s="113">
        <f ca="1">TblPop[[#This Row],[Peasants]]</f>
        <v>5352</v>
      </c>
      <c r="G108" s="113">
        <f ca="1">TblMili[[#This Row],[Networth (2)]]</f>
        <v>29507.5</v>
      </c>
      <c r="H108" s="113">
        <f ca="1">OFFSET(TblProd[[#This Row],[Platinum]],-1,0)+OFFSET(TblProd[[#This Row],[Plat/hr]],-1,0) - TblProd[[#This Row],[Expenses Platinum]] + IF(TblProd[[#This Row],[Plat Bonus]],TblPop[[#This Row],[Peasants]]*4) + SUM(TblConstr[[#This Row],[Dest Hom]:[Dest Doc]])*TblConstr[[#This Row],[CPA Platinum -DB]]*tech_3_3_2*TblTech[[#This Row],[3-3]]</f>
        <v>1265719</v>
      </c>
      <c r="I108" s="113">
        <f ca="1">OFFSET(TblProd[[#This Row],[Food]],-1,0)+OFFSET(TblProd[[#This Row],[Food/hr]],-1,0)+ROUNDUP((TblConstr[[#This Row],[Farms]]*80+TblConstr[[#This Row],[Docks]]*35)*(1+OFFSET(TblProd[[#This Row],[Bonus Food/hr]],-1,0)),0)</f>
        <v>87655</v>
      </c>
      <c r="J108" s="113">
        <f ca="1">OFFSET(TblProd[[#This Row],[Lumber]],-1,0)+OFFSET(TblProd[[#This Row],[Lumber/hr]],-1,0) - TblProd[[#This Row],[Expenses Lumber]] + SUM(TblConstr[[#This Row],[Dest Hom]:[Dest Doc]])*TblConstr[[#This Row],[CPA Lumber -DB]]*tech_3_3_2*TblTech[[#This Row],[3-3]]</f>
        <v>52398</v>
      </c>
      <c r="K108" s="113">
        <f ca="1">OFFSET(TblProd[[#This Row],[Mana]],-1,0)+OFFSET(TblProd[[#This Row],[Mana/hr]],-1,0)- TblProd[[#This Row],[Expenses Mana]]</f>
        <v>10773.5</v>
      </c>
      <c r="L108" s="113">
        <f ca="1">OFFSET(TblProd[[#This Row],[Ore]],-1,0)+OFFSET(TblProd[[#This Row],[Ore/hr]],-1,0) -TblProd[[#This Row],[Expenses Ore]]</f>
        <v>76790</v>
      </c>
      <c r="M108" s="113">
        <f ca="1">OFFSET(TblProd[[#This Row],[Gems]],-1,0)+OFFSET(TblProd[[#This Row],[Gems/hr]],-1,0) - TblProd[[#This Row],[Expenses Gems]]</f>
        <v>0</v>
      </c>
      <c r="N108" s="113">
        <f ca="1">OFFSET(TblProd[[#This Row],[Boats]],-1,0)+OFFSET(TblProd[[#This Row],[Boats/hr]],-1,0)</f>
        <v>81</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2250</v>
      </c>
      <c r="Q108" s="113">
        <v>10000</v>
      </c>
      <c r="R108" s="184"/>
      <c r="S108" s="113">
        <f ca="1">ROUNDDOWN(TblProd[[#This Row],[Raw Plat/hr]]*(1+TblProd[[#This Row],[Bonus Plat/hr]]),0)</f>
        <v>26330</v>
      </c>
      <c r="T108" s="113">
        <f ca="1">ROUND(TblProd[[#This Row],[Raw Food/hr]]*(1+TblProd[[#This Row],[Bonus Food/hr]])-TblProd[[#This Row],[Food decay]]-TblProd[[#This Row],[Food eaten]],0)</f>
        <v>-35</v>
      </c>
      <c r="U108" s="113">
        <f ca="1">ROUND(TblProd[[#This Row],[Raw Lumber/hr]]*(1+TblProd[[#This Row],[Bonus Lumber/hr]])-TblProd[[#This Row],[Lumber rot]],0)</f>
        <v>476</v>
      </c>
      <c r="V108" s="113">
        <f ca="1">ROUND(TblProd[[#This Row],[Raw Mana/hr]]*(1+TblProd[[#This Row],[Bonus Mana/hr]])-TblProd[[#This Row],[Mana drain]],0)</f>
        <v>160</v>
      </c>
      <c r="W108" s="113">
        <f ca="1">ROUNDDOWN(TblProd[[#This Row],[Raw Ore/hr]]*(1+TblProd[[#This Row],[Bonux Ore/hr]]),0)</f>
        <v>1800</v>
      </c>
      <c r="X108" s="113">
        <f ca="1">ROUNDDOWN(TblProd[[#This Row],[Raw Gems/hr]]*(1+TblProd[[#This Row],[Bonus Gems/hr]]),0)</f>
        <v>0</v>
      </c>
      <c r="Y108" s="201">
        <f ca="1">OFFSET(TblConstr[[#This Row],[Tot Doc]],1,0)*dock_boats_hr * (1 + tech_4_1*TblTech[[#This Row],[4-1]])</f>
        <v>1</v>
      </c>
      <c r="Z108" s="200"/>
      <c r="AA108" s="113">
        <f ca="1">TblPop[[#This Row],[Peasants]]*tax*TblPop[[#This Row],[Employment]] + (Construction!AZ109+Construction!BX109)*(alch_plat+(Magic!AL108&gt;0)*alchemist_flame_bonus)</f>
        <v>26330.400000000001</v>
      </c>
      <c r="AB108" s="113">
        <f ca="1">TblConstr[[#This Row],[Tot Farm]]*farm_food + TblConstr[[#This Row],[Tot Doc]]*dock_food</f>
        <v>3100</v>
      </c>
      <c r="AC108" s="113">
        <f ca="1">TblConstr[[#This Row],[Tot Ly]]*ly_lumber + TblConstr[[#This Row],[Tot Hav]]*fh_lumber</f>
        <v>1000</v>
      </c>
      <c r="AD108" s="113">
        <f ca="1">OFFSET(TblConstr[[#This Row],[Tot Tow]],1,0)*(tower_mana + tech_4_5*TblTech[[#This Row],[4-5]])</f>
        <v>375</v>
      </c>
      <c r="AE108" s="113">
        <f ca="1">OFFSET(TblConstr[[#This Row],[Tot OM]],1,0)*om_ore+IF(race="Dwarf",ROUNDDOWN(TblMili[[#This Row],[Unit 2]]/2,0),)</f>
        <v>1800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876.55000000000007</v>
      </c>
      <c r="AP108" s="113">
        <f ca="1">(1+race_food_consumption)*TblPop[[#This Row],[Total]]*food_per_person*(1+tech_1_10*TblTech[[#This Row],[1-10]]+tech_7_5*TblTech[[#This Row],[7-5]])</f>
        <v>2490.75</v>
      </c>
      <c r="AQ108" s="113">
        <f ca="1">TblProd[[#This Row],[Lumber]]*lumber_rot * (1 + tech_2_1*TblTech[[#This Row],[2-1]] + tech_2_8*TblTech[[#This Row],[2-8]] + tech_5_2*TblTech[[#This Row],[5-2]])</f>
        <v>523.98</v>
      </c>
      <c r="AR108" s="113">
        <f ca="1">TblProd[[#This Row],[Mana]]*mana_drain * (1 + tech_2_1*TblTech[[#This Row],[2-1]] + tech_2_8*TblTech[[#This Row],[2-8]])</f>
        <v>215.47</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44409.083333333081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1265719</v>
      </c>
      <c r="BJ108" s="113">
        <f ca="1">TblProd[[#This Row],[Food]]</f>
        <v>87655</v>
      </c>
      <c r="BK108" s="113">
        <f ca="1">TblProd[[#This Row],[Lumber]]</f>
        <v>52398</v>
      </c>
      <c r="BL108" s="113">
        <f ca="1">TblProd[[#This Row],[Mana]]</f>
        <v>10773.5</v>
      </c>
      <c r="BM108" s="113">
        <f ca="1">TblProd[[#This Row],[Ore]]</f>
        <v>76790</v>
      </c>
    </row>
    <row r="109" spans="1:65" x14ac:dyDescent="0.2">
      <c r="A109" s="178">
        <v>34</v>
      </c>
      <c r="B109" s="198">
        <f ca="1">TblImps[[#This Row],[Time]]</f>
        <v>44409.124999999745</v>
      </c>
      <c r="C109" s="199"/>
      <c r="D109" s="200"/>
      <c r="E109" s="113">
        <f ca="1">TblConstr[[#This Row],[Land]]</f>
        <v>600</v>
      </c>
      <c r="F109" s="113">
        <f ca="1">TblPop[[#This Row],[Peasants]]</f>
        <v>5298</v>
      </c>
      <c r="G109" s="113">
        <f ca="1">TblMili[[#This Row],[Networth (2)]]</f>
        <v>29507.5</v>
      </c>
      <c r="H109" s="113">
        <f ca="1">OFFSET(TblProd[[#This Row],[Platinum]],-1,0)+OFFSET(TblProd[[#This Row],[Plat/hr]],-1,0) - TblProd[[#This Row],[Expenses Platinum]] + IF(TblProd[[#This Row],[Plat Bonus]],TblPop[[#This Row],[Peasants]]*4) + SUM(TblConstr[[#This Row],[Dest Hom]:[Dest Doc]])*TblConstr[[#This Row],[CPA Platinum -DB]]*tech_3_3_2*TblTech[[#This Row],[3-3]]</f>
        <v>1292049</v>
      </c>
      <c r="I109" s="113">
        <f ca="1">OFFSET(TblProd[[#This Row],[Food]],-1,0)+OFFSET(TblProd[[#This Row],[Food/hr]],-1,0)+ROUNDUP((TblConstr[[#This Row],[Farms]]*80+TblConstr[[#This Row],[Docks]]*35)*(1+OFFSET(TblProd[[#This Row],[Bonus Food/hr]],-1,0)),0)</f>
        <v>87620</v>
      </c>
      <c r="J109" s="113">
        <f ca="1">OFFSET(TblProd[[#This Row],[Lumber]],-1,0)+OFFSET(TblProd[[#This Row],[Lumber/hr]],-1,0) - TblProd[[#This Row],[Expenses Lumber]] + SUM(TblConstr[[#This Row],[Dest Hom]:[Dest Doc]])*TblConstr[[#This Row],[CPA Lumber -DB]]*tech_3_3_2*TblTech[[#This Row],[3-3]]</f>
        <v>52874</v>
      </c>
      <c r="K109" s="113">
        <f ca="1">OFFSET(TblProd[[#This Row],[Mana]],-1,0)+OFFSET(TblProd[[#This Row],[Mana/hr]],-1,0)- TblProd[[#This Row],[Expenses Mana]]</f>
        <v>10933.5</v>
      </c>
      <c r="L109" s="113">
        <f ca="1">OFFSET(TblProd[[#This Row],[Ore]],-1,0)+OFFSET(TblProd[[#This Row],[Ore/hr]],-1,0) -TblProd[[#This Row],[Expenses Ore]]</f>
        <v>78590</v>
      </c>
      <c r="M109" s="113">
        <f ca="1">OFFSET(TblProd[[#This Row],[Gems]],-1,0)+OFFSET(TblProd[[#This Row],[Gems/hr]],-1,0) - TblProd[[#This Row],[Expenses Gems]]</f>
        <v>0</v>
      </c>
      <c r="N109" s="113">
        <f ca="1">OFFSET(TblProd[[#This Row],[Boats]],-1,0)+OFFSET(TblProd[[#This Row],[Boats/hr]],-1,0)</f>
        <v>82</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2250</v>
      </c>
      <c r="Q109" s="113">
        <v>10000</v>
      </c>
      <c r="R109" s="184"/>
      <c r="S109" s="113">
        <f ca="1">ROUNDDOWN(TblProd[[#This Row],[Raw Plat/hr]]*(1+TblProd[[#This Row],[Bonus Plat/hr]]),0)</f>
        <v>26184</v>
      </c>
      <c r="T109" s="113">
        <f ca="1">ROUND(TblProd[[#This Row],[Raw Food/hr]]*(1+TblProd[[#This Row],[Bonus Food/hr]])-TblProd[[#This Row],[Food decay]]-TblProd[[#This Row],[Food eaten]],0)</f>
        <v>-34</v>
      </c>
      <c r="U109" s="113">
        <f ca="1">ROUND(TblProd[[#This Row],[Raw Lumber/hr]]*(1+TblProd[[#This Row],[Bonus Lumber/hr]])-TblProd[[#This Row],[Lumber rot]],0)</f>
        <v>471</v>
      </c>
      <c r="V109" s="113">
        <f ca="1">ROUND(TblProd[[#This Row],[Raw Mana/hr]]*(1+TblProd[[#This Row],[Bonus Mana/hr]])-TblProd[[#This Row],[Mana drain]],0)</f>
        <v>156</v>
      </c>
      <c r="W109" s="113">
        <f ca="1">ROUNDDOWN(TblProd[[#This Row],[Raw Ore/hr]]*(1+TblProd[[#This Row],[Bonux Ore/hr]]),0)</f>
        <v>1800</v>
      </c>
      <c r="X109" s="113">
        <f ca="1">ROUNDDOWN(TblProd[[#This Row],[Raw Gems/hr]]*(1+TblProd[[#This Row],[Bonus Gems/hr]]),0)</f>
        <v>0</v>
      </c>
      <c r="Y109" s="201">
        <f ca="1">OFFSET(TblConstr[[#This Row],[Tot Doc]],1,0)*dock_boats_hr * (1 + tech_4_1*TblTech[[#This Row],[4-1]])</f>
        <v>1</v>
      </c>
      <c r="Z109" s="200"/>
      <c r="AA109" s="113">
        <f ca="1">TblPop[[#This Row],[Peasants]]*tax*TblPop[[#This Row],[Employment]] + (Construction!AZ110+Construction!BX110)*(alch_plat+(Magic!AL109&gt;0)*alchemist_flame_bonus)</f>
        <v>26184.6</v>
      </c>
      <c r="AB109" s="113">
        <f ca="1">TblConstr[[#This Row],[Tot Farm]]*farm_food + TblConstr[[#This Row],[Tot Doc]]*dock_food</f>
        <v>3100</v>
      </c>
      <c r="AC109" s="113">
        <f ca="1">TblConstr[[#This Row],[Tot Ly]]*ly_lumber + TblConstr[[#This Row],[Tot Hav]]*fh_lumber</f>
        <v>1000</v>
      </c>
      <c r="AD109" s="113">
        <f ca="1">OFFSET(TblConstr[[#This Row],[Tot Tow]],1,0)*(tower_mana + tech_4_5*TblTech[[#This Row],[4-5]])</f>
        <v>375</v>
      </c>
      <c r="AE109" s="113">
        <f ca="1">OFFSET(TblConstr[[#This Row],[Tot OM]],1,0)*om_ore+IF(race="Dwarf",ROUNDDOWN(TblMili[[#This Row],[Unit 2]]/2,0),)</f>
        <v>1800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876.2</v>
      </c>
      <c r="AP109" s="113">
        <f ca="1">(1+race_food_consumption)*TblPop[[#This Row],[Total]]*food_per_person*(1+tech_1_10*TblTech[[#This Row],[1-10]]+tech_7_5*TblTech[[#This Row],[7-5]])</f>
        <v>2490.75</v>
      </c>
      <c r="AQ109" s="113">
        <f ca="1">TblProd[[#This Row],[Lumber]]*lumber_rot * (1 + tech_2_1*TblTech[[#This Row],[2-1]] + tech_2_8*TblTech[[#This Row],[2-8]] + tech_5_2*TblTech[[#This Row],[5-2]])</f>
        <v>528.74</v>
      </c>
      <c r="AR109" s="113">
        <f ca="1">TblProd[[#This Row],[Mana]]*mana_drain * (1 + tech_2_1*TblTech[[#This Row],[2-1]] + tech_2_8*TblTech[[#This Row],[2-8]])</f>
        <v>218.67000000000002</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44409.124999999745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1292049</v>
      </c>
      <c r="BJ109" s="113">
        <f ca="1">TblProd[[#This Row],[Food]]</f>
        <v>87620</v>
      </c>
      <c r="BK109" s="113">
        <f ca="1">TblProd[[#This Row],[Lumber]]</f>
        <v>52874</v>
      </c>
      <c r="BL109" s="113">
        <f ca="1">TblProd[[#This Row],[Mana]]</f>
        <v>10933.5</v>
      </c>
      <c r="BM109" s="113">
        <f ca="1">TblProd[[#This Row],[Ore]]</f>
        <v>78590</v>
      </c>
    </row>
    <row r="110" spans="1:65" x14ac:dyDescent="0.2">
      <c r="A110" s="178">
        <v>35</v>
      </c>
      <c r="B110" s="198">
        <f ca="1">TblImps[[#This Row],[Time]]</f>
        <v>44409.16666666641</v>
      </c>
      <c r="C110" s="199"/>
      <c r="D110" s="200"/>
      <c r="E110" s="113">
        <f ca="1">TblConstr[[#This Row],[Land]]</f>
        <v>600</v>
      </c>
      <c r="F110" s="113">
        <f ca="1">TblPop[[#This Row],[Peasants]]</f>
        <v>5245</v>
      </c>
      <c r="G110" s="113">
        <f ca="1">TblMili[[#This Row],[Networth (2)]]</f>
        <v>29507.5</v>
      </c>
      <c r="H110" s="113">
        <f ca="1">OFFSET(TblProd[[#This Row],[Platinum]],-1,0)+OFFSET(TblProd[[#This Row],[Plat/hr]],-1,0) - TblProd[[#This Row],[Expenses Platinum]] + IF(TblProd[[#This Row],[Plat Bonus]],TblPop[[#This Row],[Peasants]]*4) + SUM(TblConstr[[#This Row],[Dest Hom]:[Dest Doc]])*TblConstr[[#This Row],[CPA Platinum -DB]]*tech_3_3_2*TblTech[[#This Row],[3-3]]</f>
        <v>1318233</v>
      </c>
      <c r="I110" s="113">
        <f ca="1">OFFSET(TblProd[[#This Row],[Food]],-1,0)+OFFSET(TblProd[[#This Row],[Food/hr]],-1,0)+ROUNDUP((TblConstr[[#This Row],[Farms]]*80+TblConstr[[#This Row],[Docks]]*35)*(1+OFFSET(TblProd[[#This Row],[Bonus Food/hr]],-1,0)),0)</f>
        <v>87586</v>
      </c>
      <c r="J110" s="113">
        <f ca="1">OFFSET(TblProd[[#This Row],[Lumber]],-1,0)+OFFSET(TblProd[[#This Row],[Lumber/hr]],-1,0) - TblProd[[#This Row],[Expenses Lumber]] + SUM(TblConstr[[#This Row],[Dest Hom]:[Dest Doc]])*TblConstr[[#This Row],[CPA Lumber -DB]]*tech_3_3_2*TblTech[[#This Row],[3-3]]</f>
        <v>53345</v>
      </c>
      <c r="K110" s="113">
        <f ca="1">OFFSET(TblProd[[#This Row],[Mana]],-1,0)+OFFSET(TblProd[[#This Row],[Mana/hr]],-1,0)- TblProd[[#This Row],[Expenses Mana]]</f>
        <v>11089.5</v>
      </c>
      <c r="L110" s="113">
        <f ca="1">OFFSET(TblProd[[#This Row],[Ore]],-1,0)+OFFSET(TblProd[[#This Row],[Ore/hr]],-1,0) -TblProd[[#This Row],[Expenses Ore]]</f>
        <v>80390</v>
      </c>
      <c r="M110" s="113">
        <f ca="1">OFFSET(TblProd[[#This Row],[Gems]],-1,0)+OFFSET(TblProd[[#This Row],[Gems/hr]],-1,0) - TblProd[[#This Row],[Expenses Gems]]</f>
        <v>0</v>
      </c>
      <c r="N110" s="113">
        <f ca="1">OFFSET(TblProd[[#This Row],[Boats]],-1,0)+OFFSET(TblProd[[#This Row],[Boats/hr]],-1,0)</f>
        <v>83</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2250</v>
      </c>
      <c r="Q110" s="113">
        <v>10000</v>
      </c>
      <c r="R110" s="184"/>
      <c r="S110" s="113">
        <f ca="1">ROUNDDOWN(TblProd[[#This Row],[Raw Plat/hr]]*(1+TblProd[[#This Row],[Bonus Plat/hr]]),0)</f>
        <v>26041</v>
      </c>
      <c r="T110" s="113">
        <f ca="1">ROUND(TblProd[[#This Row],[Raw Food/hr]]*(1+TblProd[[#This Row],[Bonus Food/hr]])-TblProd[[#This Row],[Food decay]]-TblProd[[#This Row],[Food eaten]],0)</f>
        <v>-34</v>
      </c>
      <c r="U110" s="113">
        <f ca="1">ROUND(TblProd[[#This Row],[Raw Lumber/hr]]*(1+TblProd[[#This Row],[Bonus Lumber/hr]])-TblProd[[#This Row],[Lumber rot]],0)</f>
        <v>467</v>
      </c>
      <c r="V110" s="113">
        <f ca="1">ROUND(TblProd[[#This Row],[Raw Mana/hr]]*(1+TblProd[[#This Row],[Bonus Mana/hr]])-TblProd[[#This Row],[Mana drain]],0)</f>
        <v>153</v>
      </c>
      <c r="W110" s="113">
        <f ca="1">ROUNDDOWN(TblProd[[#This Row],[Raw Ore/hr]]*(1+TblProd[[#This Row],[Bonux Ore/hr]]),0)</f>
        <v>1800</v>
      </c>
      <c r="X110" s="113">
        <f ca="1">ROUNDDOWN(TblProd[[#This Row],[Raw Gems/hr]]*(1+TblProd[[#This Row],[Bonus Gems/hr]]),0)</f>
        <v>0</v>
      </c>
      <c r="Y110" s="201">
        <f ca="1">OFFSET(TblConstr[[#This Row],[Tot Doc]],1,0)*dock_boats_hr * (1 + tech_4_1*TblTech[[#This Row],[4-1]])</f>
        <v>1</v>
      </c>
      <c r="Z110" s="200"/>
      <c r="AA110" s="113">
        <f ca="1">TblPop[[#This Row],[Peasants]]*tax*TblPop[[#This Row],[Employment]] + (Construction!AZ111+Construction!BX111)*(alch_plat+(Magic!AL110&gt;0)*alchemist_flame_bonus)</f>
        <v>26041.5</v>
      </c>
      <c r="AB110" s="113">
        <f ca="1">TblConstr[[#This Row],[Tot Farm]]*farm_food + TblConstr[[#This Row],[Tot Doc]]*dock_food</f>
        <v>3100</v>
      </c>
      <c r="AC110" s="113">
        <f ca="1">TblConstr[[#This Row],[Tot Ly]]*ly_lumber + TblConstr[[#This Row],[Tot Hav]]*fh_lumber</f>
        <v>1000</v>
      </c>
      <c r="AD110" s="113">
        <f ca="1">OFFSET(TblConstr[[#This Row],[Tot Tow]],1,0)*(tower_mana + tech_4_5*TblTech[[#This Row],[4-5]])</f>
        <v>375</v>
      </c>
      <c r="AE110" s="113">
        <f ca="1">OFFSET(TblConstr[[#This Row],[Tot OM]],1,0)*om_ore+IF(race="Dwarf",ROUNDDOWN(TblMili[[#This Row],[Unit 2]]/2,0),)</f>
        <v>1800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875.86</v>
      </c>
      <c r="AP110" s="113">
        <f ca="1">(1+race_food_consumption)*TblPop[[#This Row],[Total]]*food_per_person*(1+tech_1_10*TblTech[[#This Row],[1-10]]+tech_7_5*TblTech[[#This Row],[7-5]])</f>
        <v>2490.75</v>
      </c>
      <c r="AQ110" s="113">
        <f ca="1">TblProd[[#This Row],[Lumber]]*lumber_rot * (1 + tech_2_1*TblTech[[#This Row],[2-1]] + tech_2_8*TblTech[[#This Row],[2-8]] + tech_5_2*TblTech[[#This Row],[5-2]])</f>
        <v>533.45000000000005</v>
      </c>
      <c r="AR110" s="113">
        <f ca="1">TblProd[[#This Row],[Mana]]*mana_drain * (1 + tech_2_1*TblTech[[#This Row],[2-1]] + tech_2_8*TblTech[[#This Row],[2-8]])</f>
        <v>221.79</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44409.16666666641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1318233</v>
      </c>
      <c r="BJ110" s="113">
        <f ca="1">TblProd[[#This Row],[Food]]</f>
        <v>87586</v>
      </c>
      <c r="BK110" s="113">
        <f ca="1">TblProd[[#This Row],[Lumber]]</f>
        <v>53345</v>
      </c>
      <c r="BL110" s="113">
        <f ca="1">TblProd[[#This Row],[Mana]]</f>
        <v>11089.5</v>
      </c>
      <c r="BM110" s="113">
        <f ca="1">TblProd[[#This Row],[Ore]]</f>
        <v>80390</v>
      </c>
    </row>
    <row r="111" spans="1:65" x14ac:dyDescent="0.2">
      <c r="A111" s="178">
        <v>36</v>
      </c>
      <c r="B111" s="198">
        <f ca="1">TblImps[[#This Row],[Time]]</f>
        <v>44409.208333333074</v>
      </c>
      <c r="C111" s="199"/>
      <c r="D111" s="200"/>
      <c r="E111" s="113">
        <f ca="1">TblConstr[[#This Row],[Land]]</f>
        <v>600</v>
      </c>
      <c r="F111" s="113">
        <f ca="1">TblPop[[#This Row],[Peasants]]</f>
        <v>5193</v>
      </c>
      <c r="G111" s="113">
        <f ca="1">TblMili[[#This Row],[Networth (2)]]</f>
        <v>29507.5</v>
      </c>
      <c r="H111" s="113">
        <f ca="1">OFFSET(TblProd[[#This Row],[Platinum]],-1,0)+OFFSET(TblProd[[#This Row],[Plat/hr]],-1,0) - TblProd[[#This Row],[Expenses Platinum]] + IF(TblProd[[#This Row],[Plat Bonus]],TblPop[[#This Row],[Peasants]]*4) + SUM(TblConstr[[#This Row],[Dest Hom]:[Dest Doc]])*TblConstr[[#This Row],[CPA Platinum -DB]]*tech_3_3_2*TblTech[[#This Row],[3-3]]</f>
        <v>1344274</v>
      </c>
      <c r="I111" s="113">
        <f ca="1">OFFSET(TblProd[[#This Row],[Food]],-1,0)+OFFSET(TblProd[[#This Row],[Food/hr]],-1,0)+ROUNDUP((TblConstr[[#This Row],[Farms]]*80+TblConstr[[#This Row],[Docks]]*35)*(1+OFFSET(TblProd[[#This Row],[Bonus Food/hr]],-1,0)),0)</f>
        <v>87552</v>
      </c>
      <c r="J111" s="113">
        <f ca="1">OFFSET(TblProd[[#This Row],[Lumber]],-1,0)+OFFSET(TblProd[[#This Row],[Lumber/hr]],-1,0) - TblProd[[#This Row],[Expenses Lumber]] + SUM(TblConstr[[#This Row],[Dest Hom]:[Dest Doc]])*TblConstr[[#This Row],[CPA Lumber -DB]]*tech_3_3_2*TblTech[[#This Row],[3-3]]</f>
        <v>53812</v>
      </c>
      <c r="K111" s="113">
        <f ca="1">OFFSET(TblProd[[#This Row],[Mana]],-1,0)+OFFSET(TblProd[[#This Row],[Mana/hr]],-1,0)- TblProd[[#This Row],[Expenses Mana]]</f>
        <v>11242.5</v>
      </c>
      <c r="L111" s="113">
        <f ca="1">OFFSET(TblProd[[#This Row],[Ore]],-1,0)+OFFSET(TblProd[[#This Row],[Ore/hr]],-1,0) -TblProd[[#This Row],[Expenses Ore]]</f>
        <v>82190</v>
      </c>
      <c r="M111" s="113">
        <f ca="1">OFFSET(TblProd[[#This Row],[Gems]],-1,0)+OFFSET(TblProd[[#This Row],[Gems/hr]],-1,0) - TblProd[[#This Row],[Expenses Gems]]</f>
        <v>0</v>
      </c>
      <c r="N111" s="113">
        <f ca="1">OFFSET(TblProd[[#This Row],[Boats]],-1,0)+OFFSET(TblProd[[#This Row],[Boats/hr]],-1,0)</f>
        <v>84</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2250</v>
      </c>
      <c r="Q111" s="113">
        <v>10000</v>
      </c>
      <c r="R111" s="184"/>
      <c r="S111" s="113">
        <f ca="1">ROUNDDOWN(TblProd[[#This Row],[Raw Plat/hr]]*(1+TblProd[[#This Row],[Bonus Plat/hr]]),0)</f>
        <v>25901</v>
      </c>
      <c r="T111" s="113">
        <f ca="1">ROUND(TblProd[[#This Row],[Raw Food/hr]]*(1+TblProd[[#This Row],[Bonus Food/hr]])-TblProd[[#This Row],[Food decay]]-TblProd[[#This Row],[Food eaten]],0)</f>
        <v>-34</v>
      </c>
      <c r="U111" s="113">
        <f ca="1">ROUND(TblProd[[#This Row],[Raw Lumber/hr]]*(1+TblProd[[#This Row],[Bonus Lumber/hr]])-TblProd[[#This Row],[Lumber rot]],0)</f>
        <v>462</v>
      </c>
      <c r="V111" s="113">
        <f ca="1">ROUND(TblProd[[#This Row],[Raw Mana/hr]]*(1+TblProd[[#This Row],[Bonus Mana/hr]])-TblProd[[#This Row],[Mana drain]],0)</f>
        <v>150</v>
      </c>
      <c r="W111" s="113">
        <f ca="1">ROUNDDOWN(TblProd[[#This Row],[Raw Ore/hr]]*(1+TblProd[[#This Row],[Bonux Ore/hr]]),0)</f>
        <v>1800</v>
      </c>
      <c r="X111" s="113">
        <f ca="1">ROUNDDOWN(TblProd[[#This Row],[Raw Gems/hr]]*(1+TblProd[[#This Row],[Bonus Gems/hr]]),0)</f>
        <v>0</v>
      </c>
      <c r="Y111" s="201">
        <f ca="1">OFFSET(TblConstr[[#This Row],[Tot Doc]],1,0)*dock_boats_hr * (1 + tech_4_1*TblTech[[#This Row],[4-1]])</f>
        <v>1</v>
      </c>
      <c r="Z111" s="200"/>
      <c r="AA111" s="113">
        <f ca="1">TblPop[[#This Row],[Peasants]]*tax*TblPop[[#This Row],[Employment]] + (Construction!AZ112+Construction!BX112)*(alch_plat+(Magic!AL111&gt;0)*alchemist_flame_bonus)</f>
        <v>25901.1</v>
      </c>
      <c r="AB111" s="113">
        <f ca="1">TblConstr[[#This Row],[Tot Farm]]*farm_food + TblConstr[[#This Row],[Tot Doc]]*dock_food</f>
        <v>3100</v>
      </c>
      <c r="AC111" s="113">
        <f ca="1">TblConstr[[#This Row],[Tot Ly]]*ly_lumber + TblConstr[[#This Row],[Tot Hav]]*fh_lumber</f>
        <v>1000</v>
      </c>
      <c r="AD111" s="113">
        <f ca="1">OFFSET(TblConstr[[#This Row],[Tot Tow]],1,0)*(tower_mana + tech_4_5*TblTech[[#This Row],[4-5]])</f>
        <v>375</v>
      </c>
      <c r="AE111" s="113">
        <f ca="1">OFFSET(TblConstr[[#This Row],[Tot OM]],1,0)*om_ore+IF(race="Dwarf",ROUNDDOWN(TblMili[[#This Row],[Unit 2]]/2,0),)</f>
        <v>1800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875.52</v>
      </c>
      <c r="AP111" s="113">
        <f ca="1">(1+race_food_consumption)*TblPop[[#This Row],[Total]]*food_per_person*(1+tech_1_10*TblTech[[#This Row],[1-10]]+tech_7_5*TblTech[[#This Row],[7-5]])</f>
        <v>2490.75</v>
      </c>
      <c r="AQ111" s="113">
        <f ca="1">TblProd[[#This Row],[Lumber]]*lumber_rot * (1 + tech_2_1*TblTech[[#This Row],[2-1]] + tech_2_8*TblTech[[#This Row],[2-8]] + tech_5_2*TblTech[[#This Row],[5-2]])</f>
        <v>538.12</v>
      </c>
      <c r="AR111" s="113">
        <f ca="1">TblProd[[#This Row],[Mana]]*mana_drain * (1 + tech_2_1*TblTech[[#This Row],[2-1]] + tech_2_8*TblTech[[#This Row],[2-8]])</f>
        <v>224.85</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44409.208333333074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1344274</v>
      </c>
      <c r="BJ111" s="113">
        <f ca="1">TblProd[[#This Row],[Food]]</f>
        <v>87552</v>
      </c>
      <c r="BK111" s="113">
        <f ca="1">TblProd[[#This Row],[Lumber]]</f>
        <v>53812</v>
      </c>
      <c r="BL111" s="113">
        <f ca="1">TblProd[[#This Row],[Mana]]</f>
        <v>11242.5</v>
      </c>
      <c r="BM111" s="113">
        <f ca="1">TblProd[[#This Row],[Ore]]</f>
        <v>82190</v>
      </c>
    </row>
    <row r="112" spans="1:65" x14ac:dyDescent="0.2">
      <c r="A112" s="178">
        <v>37</v>
      </c>
      <c r="B112" s="198">
        <f ca="1">TblImps[[#This Row],[Time]]</f>
        <v>44409.249999999738</v>
      </c>
      <c r="C112" s="199"/>
      <c r="D112" s="200"/>
      <c r="E112" s="113">
        <f ca="1">TblConstr[[#This Row],[Land]]</f>
        <v>600</v>
      </c>
      <c r="F112" s="113">
        <f ca="1">TblPop[[#This Row],[Peasants]]</f>
        <v>5141</v>
      </c>
      <c r="G112" s="113">
        <f ca="1">TblMili[[#This Row],[Networth (2)]]</f>
        <v>29507.5</v>
      </c>
      <c r="H112" s="113">
        <f ca="1">OFFSET(TblProd[[#This Row],[Platinum]],-1,0)+OFFSET(TblProd[[#This Row],[Plat/hr]],-1,0) - TblProd[[#This Row],[Expenses Platinum]] + IF(TblProd[[#This Row],[Plat Bonus]],TblPop[[#This Row],[Peasants]]*4) + SUM(TblConstr[[#This Row],[Dest Hom]:[Dest Doc]])*TblConstr[[#This Row],[CPA Platinum -DB]]*tech_3_3_2*TblTech[[#This Row],[3-3]]</f>
        <v>1370175</v>
      </c>
      <c r="I112" s="113">
        <f ca="1">OFFSET(TblProd[[#This Row],[Food]],-1,0)+OFFSET(TblProd[[#This Row],[Food/hr]],-1,0)+ROUNDUP((TblConstr[[#This Row],[Farms]]*80+TblConstr[[#This Row],[Docks]]*35)*(1+OFFSET(TblProd[[#This Row],[Bonus Food/hr]],-1,0)),0)</f>
        <v>87518</v>
      </c>
      <c r="J112" s="113">
        <f ca="1">OFFSET(TblProd[[#This Row],[Lumber]],-1,0)+OFFSET(TblProd[[#This Row],[Lumber/hr]],-1,0) - TblProd[[#This Row],[Expenses Lumber]] + SUM(TblConstr[[#This Row],[Dest Hom]:[Dest Doc]])*TblConstr[[#This Row],[CPA Lumber -DB]]*tech_3_3_2*TblTech[[#This Row],[3-3]]</f>
        <v>54274</v>
      </c>
      <c r="K112" s="113">
        <f ca="1">OFFSET(TblProd[[#This Row],[Mana]],-1,0)+OFFSET(TblProd[[#This Row],[Mana/hr]],-1,0)- TblProd[[#This Row],[Expenses Mana]]</f>
        <v>11392.5</v>
      </c>
      <c r="L112" s="113">
        <f ca="1">OFFSET(TblProd[[#This Row],[Ore]],-1,0)+OFFSET(TblProd[[#This Row],[Ore/hr]],-1,0) -TblProd[[#This Row],[Expenses Ore]]</f>
        <v>83990</v>
      </c>
      <c r="M112" s="113">
        <f ca="1">OFFSET(TblProd[[#This Row],[Gems]],-1,0)+OFFSET(TblProd[[#This Row],[Gems/hr]],-1,0) - TblProd[[#This Row],[Expenses Gems]]</f>
        <v>0</v>
      </c>
      <c r="N112" s="113">
        <f ca="1">OFFSET(TblProd[[#This Row],[Boats]],-1,0)+OFFSET(TblProd[[#This Row],[Boats/hr]],-1,0)</f>
        <v>85</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2250</v>
      </c>
      <c r="Q112" s="113">
        <v>10000</v>
      </c>
      <c r="R112" s="184"/>
      <c r="S112" s="113">
        <f ca="1">ROUNDDOWN(TblProd[[#This Row],[Raw Plat/hr]]*(1+TblProd[[#This Row],[Bonus Plat/hr]]),0)</f>
        <v>25760</v>
      </c>
      <c r="T112" s="113">
        <f ca="1">ROUND(TblProd[[#This Row],[Raw Food/hr]]*(1+TblProd[[#This Row],[Bonus Food/hr]])-TblProd[[#This Row],[Food decay]]-TblProd[[#This Row],[Food eaten]],0)</f>
        <v>-33</v>
      </c>
      <c r="U112" s="113">
        <f ca="1">ROUND(TblProd[[#This Row],[Raw Lumber/hr]]*(1+TblProd[[#This Row],[Bonus Lumber/hr]])-TblProd[[#This Row],[Lumber rot]],0)</f>
        <v>457</v>
      </c>
      <c r="V112" s="113">
        <f ca="1">ROUND(TblProd[[#This Row],[Raw Mana/hr]]*(1+TblProd[[#This Row],[Bonus Mana/hr]])-TblProd[[#This Row],[Mana drain]],0)</f>
        <v>147</v>
      </c>
      <c r="W112" s="113">
        <f ca="1">ROUNDDOWN(TblProd[[#This Row],[Raw Ore/hr]]*(1+TblProd[[#This Row],[Bonux Ore/hr]]),0)</f>
        <v>1800</v>
      </c>
      <c r="X112" s="113">
        <f ca="1">ROUNDDOWN(TblProd[[#This Row],[Raw Gems/hr]]*(1+TblProd[[#This Row],[Bonus Gems/hr]]),0)</f>
        <v>0</v>
      </c>
      <c r="Y112" s="201">
        <f ca="1">OFFSET(TblConstr[[#This Row],[Tot Doc]],1,0)*dock_boats_hr * (1 + tech_4_1*TblTech[[#This Row],[4-1]])</f>
        <v>1</v>
      </c>
      <c r="Z112" s="200"/>
      <c r="AA112" s="113">
        <f ca="1">TblPop[[#This Row],[Peasants]]*tax*TblPop[[#This Row],[Employment]] + (Construction!AZ113+Construction!BX113)*(alch_plat+(Magic!AL112&gt;0)*alchemist_flame_bonus)</f>
        <v>25760.7</v>
      </c>
      <c r="AB112" s="113">
        <f ca="1">TblConstr[[#This Row],[Tot Farm]]*farm_food + TblConstr[[#This Row],[Tot Doc]]*dock_food</f>
        <v>3100</v>
      </c>
      <c r="AC112" s="113">
        <f ca="1">TblConstr[[#This Row],[Tot Ly]]*ly_lumber + TblConstr[[#This Row],[Tot Hav]]*fh_lumber</f>
        <v>1000</v>
      </c>
      <c r="AD112" s="113">
        <f ca="1">OFFSET(TblConstr[[#This Row],[Tot Tow]],1,0)*(tower_mana + tech_4_5*TblTech[[#This Row],[4-5]])</f>
        <v>375</v>
      </c>
      <c r="AE112" s="113">
        <f ca="1">OFFSET(TblConstr[[#This Row],[Tot OM]],1,0)*om_ore+IF(race="Dwarf",ROUNDDOWN(TblMili[[#This Row],[Unit 2]]/2,0),)</f>
        <v>1800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875.18000000000006</v>
      </c>
      <c r="AP112" s="113">
        <f ca="1">(1+race_food_consumption)*TblPop[[#This Row],[Total]]*food_per_person*(1+tech_1_10*TblTech[[#This Row],[1-10]]+tech_7_5*TblTech[[#This Row],[7-5]])</f>
        <v>2490.75</v>
      </c>
      <c r="AQ112" s="113">
        <f ca="1">TblProd[[#This Row],[Lumber]]*lumber_rot * (1 + tech_2_1*TblTech[[#This Row],[2-1]] + tech_2_8*TblTech[[#This Row],[2-8]] + tech_5_2*TblTech[[#This Row],[5-2]])</f>
        <v>542.74</v>
      </c>
      <c r="AR112" s="113">
        <f ca="1">TblProd[[#This Row],[Mana]]*mana_drain * (1 + tech_2_1*TblTech[[#This Row],[2-1]] + tech_2_8*TblTech[[#This Row],[2-8]])</f>
        <v>227.85</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44409.249999999738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1370175</v>
      </c>
      <c r="BJ112" s="113">
        <f ca="1">TblProd[[#This Row],[Food]]</f>
        <v>87518</v>
      </c>
      <c r="BK112" s="113">
        <f ca="1">TblProd[[#This Row],[Lumber]]</f>
        <v>54274</v>
      </c>
      <c r="BL112" s="113">
        <f ca="1">TblProd[[#This Row],[Mana]]</f>
        <v>11392.5</v>
      </c>
      <c r="BM112" s="113">
        <f ca="1">TblProd[[#This Row],[Ore]]</f>
        <v>83990</v>
      </c>
    </row>
    <row r="113" spans="1:65" x14ac:dyDescent="0.2">
      <c r="A113" s="178">
        <v>38</v>
      </c>
      <c r="B113" s="198">
        <f ca="1">TblImps[[#This Row],[Time]]</f>
        <v>44409.291666666402</v>
      </c>
      <c r="C113" s="199"/>
      <c r="D113" s="200"/>
      <c r="E113" s="113">
        <f ca="1">TblConstr[[#This Row],[Land]]</f>
        <v>600</v>
      </c>
      <c r="F113" s="113">
        <f ca="1">TblPop[[#This Row],[Peasants]]</f>
        <v>5090</v>
      </c>
      <c r="G113" s="113">
        <f ca="1">TblMili[[#This Row],[Networth (2)]]</f>
        <v>29507.5</v>
      </c>
      <c r="H113" s="113">
        <f ca="1">OFFSET(TblProd[[#This Row],[Platinum]],-1,0)+OFFSET(TblProd[[#This Row],[Plat/hr]],-1,0) - TblProd[[#This Row],[Expenses Platinum]] + IF(TblProd[[#This Row],[Plat Bonus]],TblPop[[#This Row],[Peasants]]*4) + SUM(TblConstr[[#This Row],[Dest Hom]:[Dest Doc]])*TblConstr[[#This Row],[CPA Platinum -DB]]*tech_3_3_2*TblTech[[#This Row],[3-3]]</f>
        <v>1395935</v>
      </c>
      <c r="I113" s="113">
        <f ca="1">OFFSET(TblProd[[#This Row],[Food]],-1,0)+OFFSET(TblProd[[#This Row],[Food/hr]],-1,0)+ROUNDUP((TblConstr[[#This Row],[Farms]]*80+TblConstr[[#This Row],[Docks]]*35)*(1+OFFSET(TblProd[[#This Row],[Bonus Food/hr]],-1,0)),0)</f>
        <v>87485</v>
      </c>
      <c r="J113" s="113">
        <f ca="1">OFFSET(TblProd[[#This Row],[Lumber]],-1,0)+OFFSET(TblProd[[#This Row],[Lumber/hr]],-1,0) - TblProd[[#This Row],[Expenses Lumber]] + SUM(TblConstr[[#This Row],[Dest Hom]:[Dest Doc]])*TblConstr[[#This Row],[CPA Lumber -DB]]*tech_3_3_2*TblTech[[#This Row],[3-3]]</f>
        <v>54731</v>
      </c>
      <c r="K113" s="113">
        <f ca="1">OFFSET(TblProd[[#This Row],[Mana]],-1,0)+OFFSET(TblProd[[#This Row],[Mana/hr]],-1,0)- TblProd[[#This Row],[Expenses Mana]]</f>
        <v>11539.5</v>
      </c>
      <c r="L113" s="113">
        <f ca="1">OFFSET(TblProd[[#This Row],[Ore]],-1,0)+OFFSET(TblProd[[#This Row],[Ore/hr]],-1,0) -TblProd[[#This Row],[Expenses Ore]]</f>
        <v>85790</v>
      </c>
      <c r="M113" s="113">
        <f ca="1">OFFSET(TblProd[[#This Row],[Gems]],-1,0)+OFFSET(TblProd[[#This Row],[Gems/hr]],-1,0) - TblProd[[#This Row],[Expenses Gems]]</f>
        <v>0</v>
      </c>
      <c r="N113" s="113">
        <f ca="1">OFFSET(TblProd[[#This Row],[Boats]],-1,0)+OFFSET(TblProd[[#This Row],[Boats/hr]],-1,0)</f>
        <v>86</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2250</v>
      </c>
      <c r="Q113" s="113">
        <v>10000</v>
      </c>
      <c r="R113" s="184"/>
      <c r="S113" s="113">
        <f ca="1">ROUNDDOWN(TblProd[[#This Row],[Raw Plat/hr]]*(1+TblProd[[#This Row],[Bonus Plat/hr]]),0)</f>
        <v>25623</v>
      </c>
      <c r="T113" s="113">
        <f ca="1">ROUND(TblProd[[#This Row],[Raw Food/hr]]*(1+TblProd[[#This Row],[Bonus Food/hr]])-TblProd[[#This Row],[Food decay]]-TblProd[[#This Row],[Food eaten]],0)</f>
        <v>-33</v>
      </c>
      <c r="U113" s="113">
        <f ca="1">ROUND(TblProd[[#This Row],[Raw Lumber/hr]]*(1+TblProd[[#This Row],[Bonus Lumber/hr]])-TblProd[[#This Row],[Lumber rot]],0)</f>
        <v>453</v>
      </c>
      <c r="V113" s="113">
        <f ca="1">ROUND(TblProd[[#This Row],[Raw Mana/hr]]*(1+TblProd[[#This Row],[Bonus Mana/hr]])-TblProd[[#This Row],[Mana drain]],0)</f>
        <v>144</v>
      </c>
      <c r="W113" s="113">
        <f ca="1">ROUNDDOWN(TblProd[[#This Row],[Raw Ore/hr]]*(1+TblProd[[#This Row],[Bonux Ore/hr]]),0)</f>
        <v>1800</v>
      </c>
      <c r="X113" s="113">
        <f ca="1">ROUNDDOWN(TblProd[[#This Row],[Raw Gems/hr]]*(1+TblProd[[#This Row],[Bonus Gems/hr]]),0)</f>
        <v>0</v>
      </c>
      <c r="Y113" s="201">
        <f ca="1">OFFSET(TblConstr[[#This Row],[Tot Doc]],1,0)*dock_boats_hr * (1 + tech_4_1*TblTech[[#This Row],[4-1]])</f>
        <v>1</v>
      </c>
      <c r="Z113" s="200"/>
      <c r="AA113" s="113">
        <f ca="1">TblPop[[#This Row],[Peasants]]*tax*TblPop[[#This Row],[Employment]] + (Construction!AZ114+Construction!BX114)*(alch_plat+(Magic!AL113&gt;0)*alchemist_flame_bonus)</f>
        <v>25623</v>
      </c>
      <c r="AB113" s="113">
        <f ca="1">TblConstr[[#This Row],[Tot Farm]]*farm_food + TblConstr[[#This Row],[Tot Doc]]*dock_food</f>
        <v>3100</v>
      </c>
      <c r="AC113" s="113">
        <f ca="1">TblConstr[[#This Row],[Tot Ly]]*ly_lumber + TblConstr[[#This Row],[Tot Hav]]*fh_lumber</f>
        <v>1000</v>
      </c>
      <c r="AD113" s="113">
        <f ca="1">OFFSET(TblConstr[[#This Row],[Tot Tow]],1,0)*(tower_mana + tech_4_5*TblTech[[#This Row],[4-5]])</f>
        <v>375</v>
      </c>
      <c r="AE113" s="113">
        <f ca="1">OFFSET(TblConstr[[#This Row],[Tot OM]],1,0)*om_ore+IF(race="Dwarf",ROUNDDOWN(TblMili[[#This Row],[Unit 2]]/2,0),)</f>
        <v>1800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874.85</v>
      </c>
      <c r="AP113" s="113">
        <f ca="1">(1+race_food_consumption)*TblPop[[#This Row],[Total]]*food_per_person*(1+tech_1_10*TblTech[[#This Row],[1-10]]+tech_7_5*TblTech[[#This Row],[7-5]])</f>
        <v>2490.75</v>
      </c>
      <c r="AQ113" s="113">
        <f ca="1">TblProd[[#This Row],[Lumber]]*lumber_rot * (1 + tech_2_1*TblTech[[#This Row],[2-1]] + tech_2_8*TblTech[[#This Row],[2-8]] + tech_5_2*TblTech[[#This Row],[5-2]])</f>
        <v>547.31000000000006</v>
      </c>
      <c r="AR113" s="113">
        <f ca="1">TblProd[[#This Row],[Mana]]*mana_drain * (1 + tech_2_1*TblTech[[#This Row],[2-1]] + tech_2_8*TblTech[[#This Row],[2-8]])</f>
        <v>230.79</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44409.291666666402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1395935</v>
      </c>
      <c r="BJ113" s="113">
        <f ca="1">TblProd[[#This Row],[Food]]</f>
        <v>87485</v>
      </c>
      <c r="BK113" s="113">
        <f ca="1">TblProd[[#This Row],[Lumber]]</f>
        <v>54731</v>
      </c>
      <c r="BL113" s="113">
        <f ca="1">TblProd[[#This Row],[Mana]]</f>
        <v>11539.5</v>
      </c>
      <c r="BM113" s="113">
        <f ca="1">TblProd[[#This Row],[Ore]]</f>
        <v>85790</v>
      </c>
    </row>
    <row r="114" spans="1:65" x14ac:dyDescent="0.2">
      <c r="A114" s="178">
        <v>39</v>
      </c>
      <c r="B114" s="198">
        <f ca="1">TblImps[[#This Row],[Time]]</f>
        <v>44409.333333333067</v>
      </c>
      <c r="C114" s="199"/>
      <c r="D114" s="200"/>
      <c r="E114" s="113">
        <f ca="1">TblConstr[[#This Row],[Land]]</f>
        <v>600</v>
      </c>
      <c r="F114" s="113">
        <f ca="1">TblPop[[#This Row],[Peasants]]</f>
        <v>5039</v>
      </c>
      <c r="G114" s="113">
        <f ca="1">TblMili[[#This Row],[Networth (2)]]</f>
        <v>29507.5</v>
      </c>
      <c r="H114" s="113">
        <f ca="1">OFFSET(TblProd[[#This Row],[Platinum]],-1,0)+OFFSET(TblProd[[#This Row],[Plat/hr]],-1,0) - TblProd[[#This Row],[Expenses Platinum]] + IF(TblProd[[#This Row],[Plat Bonus]],TblPop[[#This Row],[Peasants]]*4) + SUM(TblConstr[[#This Row],[Dest Hom]:[Dest Doc]])*TblConstr[[#This Row],[CPA Platinum -DB]]*tech_3_3_2*TblTech[[#This Row],[3-3]]</f>
        <v>1421558</v>
      </c>
      <c r="I114" s="113">
        <f ca="1">OFFSET(TblProd[[#This Row],[Food]],-1,0)+OFFSET(TblProd[[#This Row],[Food/hr]],-1,0)+ROUNDUP((TblConstr[[#This Row],[Farms]]*80+TblConstr[[#This Row],[Docks]]*35)*(1+OFFSET(TblProd[[#This Row],[Bonus Food/hr]],-1,0)),0)</f>
        <v>87452</v>
      </c>
      <c r="J114" s="113">
        <f ca="1">OFFSET(TblProd[[#This Row],[Lumber]],-1,0)+OFFSET(TblProd[[#This Row],[Lumber/hr]],-1,0) - TblProd[[#This Row],[Expenses Lumber]] + SUM(TblConstr[[#This Row],[Dest Hom]:[Dest Doc]])*TblConstr[[#This Row],[CPA Lumber -DB]]*tech_3_3_2*TblTech[[#This Row],[3-3]]</f>
        <v>55184</v>
      </c>
      <c r="K114" s="113">
        <f ca="1">OFFSET(TblProd[[#This Row],[Mana]],-1,0)+OFFSET(TblProd[[#This Row],[Mana/hr]],-1,0)- TblProd[[#This Row],[Expenses Mana]]</f>
        <v>11683.5</v>
      </c>
      <c r="L114" s="113">
        <f ca="1">OFFSET(TblProd[[#This Row],[Ore]],-1,0)+OFFSET(TblProd[[#This Row],[Ore/hr]],-1,0) -TblProd[[#This Row],[Expenses Ore]]</f>
        <v>87590</v>
      </c>
      <c r="M114" s="113">
        <f ca="1">OFFSET(TblProd[[#This Row],[Gems]],-1,0)+OFFSET(TblProd[[#This Row],[Gems/hr]],-1,0) - TblProd[[#This Row],[Expenses Gems]]</f>
        <v>0</v>
      </c>
      <c r="N114" s="113">
        <f ca="1">OFFSET(TblProd[[#This Row],[Boats]],-1,0)+OFFSET(TblProd[[#This Row],[Boats/hr]],-1,0)</f>
        <v>87</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2250</v>
      </c>
      <c r="Q114" s="113">
        <v>10000</v>
      </c>
      <c r="R114" s="184"/>
      <c r="S114" s="113">
        <f ca="1">ROUNDDOWN(TblProd[[#This Row],[Raw Plat/hr]]*(1+TblProd[[#This Row],[Bonus Plat/hr]]),0)</f>
        <v>25485</v>
      </c>
      <c r="T114" s="113">
        <f ca="1">ROUND(TblProd[[#This Row],[Raw Food/hr]]*(1+TblProd[[#This Row],[Bonus Food/hr]])-TblProd[[#This Row],[Food decay]]-TblProd[[#This Row],[Food eaten]],0)</f>
        <v>-33</v>
      </c>
      <c r="U114" s="113">
        <f ca="1">ROUND(TblProd[[#This Row],[Raw Lumber/hr]]*(1+TblProd[[#This Row],[Bonus Lumber/hr]])-TblProd[[#This Row],[Lumber rot]],0)</f>
        <v>448</v>
      </c>
      <c r="V114" s="113">
        <f ca="1">ROUND(TblProd[[#This Row],[Raw Mana/hr]]*(1+TblProd[[#This Row],[Bonus Mana/hr]])-TblProd[[#This Row],[Mana drain]],0)</f>
        <v>141</v>
      </c>
      <c r="W114" s="113">
        <f ca="1">ROUNDDOWN(TblProd[[#This Row],[Raw Ore/hr]]*(1+TblProd[[#This Row],[Bonux Ore/hr]]),0)</f>
        <v>1800</v>
      </c>
      <c r="X114" s="113">
        <f ca="1">ROUNDDOWN(TblProd[[#This Row],[Raw Gems/hr]]*(1+TblProd[[#This Row],[Bonus Gems/hr]]),0)</f>
        <v>0</v>
      </c>
      <c r="Y114" s="201">
        <f ca="1">OFFSET(TblConstr[[#This Row],[Tot Doc]],1,0)*dock_boats_hr * (1 + tech_4_1*TblTech[[#This Row],[4-1]])</f>
        <v>1</v>
      </c>
      <c r="Z114" s="200"/>
      <c r="AA114" s="113">
        <f ca="1">TblPop[[#This Row],[Peasants]]*tax*TblPop[[#This Row],[Employment]] + (Construction!AZ115+Construction!BX115)*(alch_plat+(Magic!AL114&gt;0)*alchemist_flame_bonus)</f>
        <v>25485.300000000003</v>
      </c>
      <c r="AB114" s="113">
        <f ca="1">TblConstr[[#This Row],[Tot Farm]]*farm_food + TblConstr[[#This Row],[Tot Doc]]*dock_food</f>
        <v>3100</v>
      </c>
      <c r="AC114" s="113">
        <f ca="1">TblConstr[[#This Row],[Tot Ly]]*ly_lumber + TblConstr[[#This Row],[Tot Hav]]*fh_lumber</f>
        <v>1000</v>
      </c>
      <c r="AD114" s="113">
        <f ca="1">OFFSET(TblConstr[[#This Row],[Tot Tow]],1,0)*(tower_mana + tech_4_5*TblTech[[#This Row],[4-5]])</f>
        <v>375</v>
      </c>
      <c r="AE114" s="113">
        <f ca="1">OFFSET(TblConstr[[#This Row],[Tot OM]],1,0)*om_ore+IF(race="Dwarf",ROUNDDOWN(TblMili[[#This Row],[Unit 2]]/2,0),)</f>
        <v>1800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874.52</v>
      </c>
      <c r="AP114" s="113">
        <f ca="1">(1+race_food_consumption)*TblPop[[#This Row],[Total]]*food_per_person*(1+tech_1_10*TblTech[[#This Row],[1-10]]+tech_7_5*TblTech[[#This Row],[7-5]])</f>
        <v>2490.75</v>
      </c>
      <c r="AQ114" s="113">
        <f ca="1">TblProd[[#This Row],[Lumber]]*lumber_rot * (1 + tech_2_1*TblTech[[#This Row],[2-1]] + tech_2_8*TblTech[[#This Row],[2-8]] + tech_5_2*TblTech[[#This Row],[5-2]])</f>
        <v>551.84</v>
      </c>
      <c r="AR114" s="113">
        <f ca="1">TblProd[[#This Row],[Mana]]*mana_drain * (1 + tech_2_1*TblTech[[#This Row],[2-1]] + tech_2_8*TblTech[[#This Row],[2-8]])</f>
        <v>233.67000000000002</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44409.333333333067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1421558</v>
      </c>
      <c r="BJ114" s="113">
        <f ca="1">TblProd[[#This Row],[Food]]</f>
        <v>87452</v>
      </c>
      <c r="BK114" s="113">
        <f ca="1">TblProd[[#This Row],[Lumber]]</f>
        <v>55184</v>
      </c>
      <c r="BL114" s="113">
        <f ca="1">TblProd[[#This Row],[Mana]]</f>
        <v>11683.5</v>
      </c>
      <c r="BM114" s="113">
        <f ca="1">TblProd[[#This Row],[Ore]]</f>
        <v>87590</v>
      </c>
    </row>
    <row r="115" spans="1:65" x14ac:dyDescent="0.2">
      <c r="A115" s="178">
        <v>40</v>
      </c>
      <c r="B115" s="198">
        <f ca="1">TblImps[[#This Row],[Time]]</f>
        <v>44409.374999999731</v>
      </c>
      <c r="C115" s="199"/>
      <c r="D115" s="200"/>
      <c r="E115" s="113">
        <f ca="1">TblConstr[[#This Row],[Land]]</f>
        <v>600</v>
      </c>
      <c r="F115" s="113">
        <f ca="1">TblPop[[#This Row],[Peasants]]</f>
        <v>4989</v>
      </c>
      <c r="G115" s="113">
        <f ca="1">TblMili[[#This Row],[Networth (2)]]</f>
        <v>29507.5</v>
      </c>
      <c r="H115" s="113">
        <f ca="1">OFFSET(TblProd[[#This Row],[Platinum]],-1,0)+OFFSET(TblProd[[#This Row],[Plat/hr]],-1,0) - TblProd[[#This Row],[Expenses Platinum]] + IF(TblProd[[#This Row],[Plat Bonus]],TblPop[[#This Row],[Peasants]]*4) + SUM(TblConstr[[#This Row],[Dest Hom]:[Dest Doc]])*TblConstr[[#This Row],[CPA Platinum -DB]]*tech_3_3_2*TblTech[[#This Row],[3-3]]</f>
        <v>1447043</v>
      </c>
      <c r="I115" s="113">
        <f ca="1">OFFSET(TblProd[[#This Row],[Food]],-1,0)+OFFSET(TblProd[[#This Row],[Food/hr]],-1,0)+ROUNDUP((TblConstr[[#This Row],[Farms]]*80+TblConstr[[#This Row],[Docks]]*35)*(1+OFFSET(TblProd[[#This Row],[Bonus Food/hr]],-1,0)),0)</f>
        <v>87419</v>
      </c>
      <c r="J115" s="113">
        <f ca="1">OFFSET(TblProd[[#This Row],[Lumber]],-1,0)+OFFSET(TblProd[[#This Row],[Lumber/hr]],-1,0) - TblProd[[#This Row],[Expenses Lumber]] + SUM(TblConstr[[#This Row],[Dest Hom]:[Dest Doc]])*TblConstr[[#This Row],[CPA Lumber -DB]]*tech_3_3_2*TblTech[[#This Row],[3-3]]</f>
        <v>55632</v>
      </c>
      <c r="K115" s="113">
        <f ca="1">OFFSET(TblProd[[#This Row],[Mana]],-1,0)+OFFSET(TblProd[[#This Row],[Mana/hr]],-1,0)- TblProd[[#This Row],[Expenses Mana]]</f>
        <v>11824.5</v>
      </c>
      <c r="L115" s="113">
        <f ca="1">OFFSET(TblProd[[#This Row],[Ore]],-1,0)+OFFSET(TblProd[[#This Row],[Ore/hr]],-1,0) -TblProd[[#This Row],[Expenses Ore]]</f>
        <v>89390</v>
      </c>
      <c r="M115" s="113">
        <f ca="1">OFFSET(TblProd[[#This Row],[Gems]],-1,0)+OFFSET(TblProd[[#This Row],[Gems/hr]],-1,0) - TblProd[[#This Row],[Expenses Gems]]</f>
        <v>0</v>
      </c>
      <c r="N115" s="113">
        <f ca="1">OFFSET(TblProd[[#This Row],[Boats]],-1,0)+OFFSET(TblProd[[#This Row],[Boats/hr]],-1,0)</f>
        <v>88</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2250</v>
      </c>
      <c r="Q115" s="113">
        <v>10000</v>
      </c>
      <c r="R115" s="184"/>
      <c r="S115" s="113">
        <f ca="1">ROUNDDOWN(TblProd[[#This Row],[Raw Plat/hr]]*(1+TblProd[[#This Row],[Bonus Plat/hr]]),0)</f>
        <v>25350</v>
      </c>
      <c r="T115" s="113">
        <f ca="1">ROUND(TblProd[[#This Row],[Raw Food/hr]]*(1+TblProd[[#This Row],[Bonus Food/hr]])-TblProd[[#This Row],[Food decay]]-TblProd[[#This Row],[Food eaten]],0)</f>
        <v>-32</v>
      </c>
      <c r="U115" s="113">
        <f ca="1">ROUND(TblProd[[#This Row],[Raw Lumber/hr]]*(1+TblProd[[#This Row],[Bonus Lumber/hr]])-TblProd[[#This Row],[Lumber rot]],0)</f>
        <v>444</v>
      </c>
      <c r="V115" s="113">
        <f ca="1">ROUND(TblProd[[#This Row],[Raw Mana/hr]]*(1+TblProd[[#This Row],[Bonus Mana/hr]])-TblProd[[#This Row],[Mana drain]],0)</f>
        <v>139</v>
      </c>
      <c r="W115" s="113">
        <f ca="1">ROUNDDOWN(TblProd[[#This Row],[Raw Ore/hr]]*(1+TblProd[[#This Row],[Bonux Ore/hr]]),0)</f>
        <v>1800</v>
      </c>
      <c r="X115" s="113">
        <f ca="1">ROUNDDOWN(TblProd[[#This Row],[Raw Gems/hr]]*(1+TblProd[[#This Row],[Bonus Gems/hr]]),0)</f>
        <v>0</v>
      </c>
      <c r="Y115" s="201">
        <f ca="1">OFFSET(TblConstr[[#This Row],[Tot Doc]],1,0)*dock_boats_hr * (1 + tech_4_1*TblTech[[#This Row],[4-1]])</f>
        <v>1</v>
      </c>
      <c r="Z115" s="200"/>
      <c r="AA115" s="113">
        <f ca="1">TblPop[[#This Row],[Peasants]]*tax*TblPop[[#This Row],[Employment]] + (Construction!AZ116+Construction!BX116)*(alch_plat+(Magic!AL115&gt;0)*alchemist_flame_bonus)</f>
        <v>25350.300000000003</v>
      </c>
      <c r="AB115" s="113">
        <f ca="1">TblConstr[[#This Row],[Tot Farm]]*farm_food + TblConstr[[#This Row],[Tot Doc]]*dock_food</f>
        <v>3100</v>
      </c>
      <c r="AC115" s="113">
        <f ca="1">TblConstr[[#This Row],[Tot Ly]]*ly_lumber + TblConstr[[#This Row],[Tot Hav]]*fh_lumber</f>
        <v>1000</v>
      </c>
      <c r="AD115" s="113">
        <f ca="1">OFFSET(TblConstr[[#This Row],[Tot Tow]],1,0)*(tower_mana + tech_4_5*TblTech[[#This Row],[4-5]])</f>
        <v>375</v>
      </c>
      <c r="AE115" s="113">
        <f ca="1">OFFSET(TblConstr[[#This Row],[Tot OM]],1,0)*om_ore+IF(race="Dwarf",ROUNDDOWN(TblMili[[#This Row],[Unit 2]]/2,0),)</f>
        <v>1800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874.19</v>
      </c>
      <c r="AP115" s="113">
        <f ca="1">(1+race_food_consumption)*TblPop[[#This Row],[Total]]*food_per_person*(1+tech_1_10*TblTech[[#This Row],[1-10]]+tech_7_5*TblTech[[#This Row],[7-5]])</f>
        <v>2490.75</v>
      </c>
      <c r="AQ115" s="113">
        <f ca="1">TblProd[[#This Row],[Lumber]]*lumber_rot * (1 + tech_2_1*TblTech[[#This Row],[2-1]] + tech_2_8*TblTech[[#This Row],[2-8]] + tech_5_2*TblTech[[#This Row],[5-2]])</f>
        <v>556.32000000000005</v>
      </c>
      <c r="AR115" s="113">
        <f ca="1">TblProd[[#This Row],[Mana]]*mana_drain * (1 + tech_2_1*TblTech[[#This Row],[2-1]] + tech_2_8*TblTech[[#This Row],[2-8]])</f>
        <v>236.49</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44409.374999999731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1447043</v>
      </c>
      <c r="BJ115" s="113">
        <f ca="1">TblProd[[#This Row],[Food]]</f>
        <v>87419</v>
      </c>
      <c r="BK115" s="113">
        <f ca="1">TblProd[[#This Row],[Lumber]]</f>
        <v>55632</v>
      </c>
      <c r="BL115" s="113">
        <f ca="1">TblProd[[#This Row],[Mana]]</f>
        <v>11824.5</v>
      </c>
      <c r="BM115" s="113">
        <f ca="1">TblProd[[#This Row],[Ore]]</f>
        <v>89390</v>
      </c>
    </row>
    <row r="116" spans="1:65" x14ac:dyDescent="0.2">
      <c r="A116" s="178">
        <v>41</v>
      </c>
      <c r="B116" s="198">
        <f ca="1">TblImps[[#This Row],[Time]]</f>
        <v>44409.416666666395</v>
      </c>
      <c r="C116" s="199"/>
      <c r="D116" s="200"/>
      <c r="E116" s="113">
        <f ca="1">TblConstr[[#This Row],[Land]]</f>
        <v>600</v>
      </c>
      <c r="F116" s="113">
        <f ca="1">TblPop[[#This Row],[Peasants]]</f>
        <v>4939</v>
      </c>
      <c r="G116" s="113">
        <f ca="1">TblMili[[#This Row],[Networth (2)]]</f>
        <v>29507.5</v>
      </c>
      <c r="H116" s="113">
        <f ca="1">OFFSET(TblProd[[#This Row],[Platinum]],-1,0)+OFFSET(TblProd[[#This Row],[Plat/hr]],-1,0) - TblProd[[#This Row],[Expenses Platinum]] + IF(TblProd[[#This Row],[Plat Bonus]],TblPop[[#This Row],[Peasants]]*4) + SUM(TblConstr[[#This Row],[Dest Hom]:[Dest Doc]])*TblConstr[[#This Row],[CPA Platinum -DB]]*tech_3_3_2*TblTech[[#This Row],[3-3]]</f>
        <v>1472393</v>
      </c>
      <c r="I116" s="113">
        <f ca="1">OFFSET(TblProd[[#This Row],[Food]],-1,0)+OFFSET(TblProd[[#This Row],[Food/hr]],-1,0)+ROUNDUP((TblConstr[[#This Row],[Farms]]*80+TblConstr[[#This Row],[Docks]]*35)*(1+OFFSET(TblProd[[#This Row],[Bonus Food/hr]],-1,0)),0)</f>
        <v>87387</v>
      </c>
      <c r="J116" s="113">
        <f ca="1">OFFSET(TblProd[[#This Row],[Lumber]],-1,0)+OFFSET(TblProd[[#This Row],[Lumber/hr]],-1,0) - TblProd[[#This Row],[Expenses Lumber]] + SUM(TblConstr[[#This Row],[Dest Hom]:[Dest Doc]])*TblConstr[[#This Row],[CPA Lumber -DB]]*tech_3_3_2*TblTech[[#This Row],[3-3]]</f>
        <v>56076</v>
      </c>
      <c r="K116" s="113">
        <f ca="1">OFFSET(TblProd[[#This Row],[Mana]],-1,0)+OFFSET(TblProd[[#This Row],[Mana/hr]],-1,0)- TblProd[[#This Row],[Expenses Mana]]</f>
        <v>11963.5</v>
      </c>
      <c r="L116" s="113">
        <f ca="1">OFFSET(TblProd[[#This Row],[Ore]],-1,0)+OFFSET(TblProd[[#This Row],[Ore/hr]],-1,0) -TblProd[[#This Row],[Expenses Ore]]</f>
        <v>91190</v>
      </c>
      <c r="M116" s="113">
        <f ca="1">OFFSET(TblProd[[#This Row],[Gems]],-1,0)+OFFSET(TblProd[[#This Row],[Gems/hr]],-1,0) - TblProd[[#This Row],[Expenses Gems]]</f>
        <v>0</v>
      </c>
      <c r="N116" s="113">
        <f ca="1">OFFSET(TblProd[[#This Row],[Boats]],-1,0)+OFFSET(TblProd[[#This Row],[Boats/hr]],-1,0)</f>
        <v>89</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2250</v>
      </c>
      <c r="Q116" s="113">
        <v>10000</v>
      </c>
      <c r="R116" s="184"/>
      <c r="S116" s="113">
        <f ca="1">ROUNDDOWN(TblProd[[#This Row],[Raw Plat/hr]]*(1+TblProd[[#This Row],[Bonus Plat/hr]]),0)</f>
        <v>25215</v>
      </c>
      <c r="T116" s="113">
        <f ca="1">ROUND(TblProd[[#This Row],[Raw Food/hr]]*(1+TblProd[[#This Row],[Bonus Food/hr]])-TblProd[[#This Row],[Food decay]]-TblProd[[#This Row],[Food eaten]],0)</f>
        <v>-32</v>
      </c>
      <c r="U116" s="113">
        <f ca="1">ROUND(TblProd[[#This Row],[Raw Lumber/hr]]*(1+TblProd[[#This Row],[Bonus Lumber/hr]])-TblProd[[#This Row],[Lumber rot]],0)</f>
        <v>439</v>
      </c>
      <c r="V116" s="113">
        <f ca="1">ROUND(TblProd[[#This Row],[Raw Mana/hr]]*(1+TblProd[[#This Row],[Bonus Mana/hr]])-TblProd[[#This Row],[Mana drain]],0)</f>
        <v>136</v>
      </c>
      <c r="W116" s="113">
        <f ca="1">ROUNDDOWN(TblProd[[#This Row],[Raw Ore/hr]]*(1+TblProd[[#This Row],[Bonux Ore/hr]]),0)</f>
        <v>1800</v>
      </c>
      <c r="X116" s="113">
        <f ca="1">ROUNDDOWN(TblProd[[#This Row],[Raw Gems/hr]]*(1+TblProd[[#This Row],[Bonus Gems/hr]]),0)</f>
        <v>0</v>
      </c>
      <c r="Y116" s="201">
        <f ca="1">OFFSET(TblConstr[[#This Row],[Tot Doc]],1,0)*dock_boats_hr * (1 + tech_4_1*TblTech[[#This Row],[4-1]])</f>
        <v>1</v>
      </c>
      <c r="Z116" s="200"/>
      <c r="AA116" s="113">
        <f ca="1">TblPop[[#This Row],[Peasants]]*tax*TblPop[[#This Row],[Employment]] + (Construction!AZ117+Construction!BX117)*(alch_plat+(Magic!AL116&gt;0)*alchemist_flame_bonus)</f>
        <v>25215.300000000003</v>
      </c>
      <c r="AB116" s="113">
        <f ca="1">TblConstr[[#This Row],[Tot Farm]]*farm_food + TblConstr[[#This Row],[Tot Doc]]*dock_food</f>
        <v>3100</v>
      </c>
      <c r="AC116" s="113">
        <f ca="1">TblConstr[[#This Row],[Tot Ly]]*ly_lumber + TblConstr[[#This Row],[Tot Hav]]*fh_lumber</f>
        <v>1000</v>
      </c>
      <c r="AD116" s="113">
        <f ca="1">OFFSET(TblConstr[[#This Row],[Tot Tow]],1,0)*(tower_mana + tech_4_5*TblTech[[#This Row],[4-5]])</f>
        <v>375</v>
      </c>
      <c r="AE116" s="113">
        <f ca="1">OFFSET(TblConstr[[#This Row],[Tot OM]],1,0)*om_ore+IF(race="Dwarf",ROUNDDOWN(TblMili[[#This Row],[Unit 2]]/2,0),)</f>
        <v>1800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873.87</v>
      </c>
      <c r="AP116" s="113">
        <f ca="1">(1+race_food_consumption)*TblPop[[#This Row],[Total]]*food_per_person*(1+tech_1_10*TblTech[[#This Row],[1-10]]+tech_7_5*TblTech[[#This Row],[7-5]])</f>
        <v>2490.75</v>
      </c>
      <c r="AQ116" s="113">
        <f ca="1">TblProd[[#This Row],[Lumber]]*lumber_rot * (1 + tech_2_1*TblTech[[#This Row],[2-1]] + tech_2_8*TblTech[[#This Row],[2-8]] + tech_5_2*TblTech[[#This Row],[5-2]])</f>
        <v>560.76</v>
      </c>
      <c r="AR116" s="113">
        <f ca="1">TblProd[[#This Row],[Mana]]*mana_drain * (1 + tech_2_1*TblTech[[#This Row],[2-1]] + tech_2_8*TblTech[[#This Row],[2-8]])</f>
        <v>239.27</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44409.416666666395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1472393</v>
      </c>
      <c r="BJ116" s="113">
        <f ca="1">TblProd[[#This Row],[Food]]</f>
        <v>87387</v>
      </c>
      <c r="BK116" s="113">
        <f ca="1">TblProd[[#This Row],[Lumber]]</f>
        <v>56076</v>
      </c>
      <c r="BL116" s="113">
        <f ca="1">TblProd[[#This Row],[Mana]]</f>
        <v>11963.5</v>
      </c>
      <c r="BM116" s="113">
        <f ca="1">TblProd[[#This Row],[Ore]]</f>
        <v>91190</v>
      </c>
    </row>
    <row r="117" spans="1:65" x14ac:dyDescent="0.2">
      <c r="A117" s="178">
        <v>42</v>
      </c>
      <c r="B117" s="198">
        <f ca="1">TblImps[[#This Row],[Time]]</f>
        <v>44409.458333333059</v>
      </c>
      <c r="C117" s="199"/>
      <c r="D117" s="200"/>
      <c r="E117" s="113">
        <f ca="1">TblConstr[[#This Row],[Land]]</f>
        <v>600</v>
      </c>
      <c r="F117" s="113">
        <f ca="1">TblPop[[#This Row],[Peasants]]</f>
        <v>4890</v>
      </c>
      <c r="G117" s="113">
        <f ca="1">TblMili[[#This Row],[Networth (2)]]</f>
        <v>29507.5</v>
      </c>
      <c r="H117" s="113">
        <f ca="1">OFFSET(TblProd[[#This Row],[Platinum]],-1,0)+OFFSET(TblProd[[#This Row],[Plat/hr]],-1,0) - TblProd[[#This Row],[Expenses Platinum]] + IF(TblProd[[#This Row],[Plat Bonus]],TblPop[[#This Row],[Peasants]]*4) + SUM(TblConstr[[#This Row],[Dest Hom]:[Dest Doc]])*TblConstr[[#This Row],[CPA Platinum -DB]]*tech_3_3_2*TblTech[[#This Row],[3-3]]</f>
        <v>1497608</v>
      </c>
      <c r="I117" s="113">
        <f ca="1">OFFSET(TblProd[[#This Row],[Food]],-1,0)+OFFSET(TblProd[[#This Row],[Food/hr]],-1,0)+ROUNDUP((TblConstr[[#This Row],[Farms]]*80+TblConstr[[#This Row],[Docks]]*35)*(1+OFFSET(TblProd[[#This Row],[Bonus Food/hr]],-1,0)),0)</f>
        <v>87355</v>
      </c>
      <c r="J117" s="113">
        <f ca="1">OFFSET(TblProd[[#This Row],[Lumber]],-1,0)+OFFSET(TblProd[[#This Row],[Lumber/hr]],-1,0) - TblProd[[#This Row],[Expenses Lumber]] + SUM(TblConstr[[#This Row],[Dest Hom]:[Dest Doc]])*TblConstr[[#This Row],[CPA Lumber -DB]]*tech_3_3_2*TblTech[[#This Row],[3-3]]</f>
        <v>56515</v>
      </c>
      <c r="K117" s="113">
        <f ca="1">OFFSET(TblProd[[#This Row],[Mana]],-1,0)+OFFSET(TblProd[[#This Row],[Mana/hr]],-1,0)- TblProd[[#This Row],[Expenses Mana]]</f>
        <v>12099.5</v>
      </c>
      <c r="L117" s="113">
        <f ca="1">OFFSET(TblProd[[#This Row],[Ore]],-1,0)+OFFSET(TblProd[[#This Row],[Ore/hr]],-1,0) -TblProd[[#This Row],[Expenses Ore]]</f>
        <v>92990</v>
      </c>
      <c r="M117" s="113">
        <f ca="1">OFFSET(TblProd[[#This Row],[Gems]],-1,0)+OFFSET(TblProd[[#This Row],[Gems/hr]],-1,0) - TblProd[[#This Row],[Expenses Gems]]</f>
        <v>0</v>
      </c>
      <c r="N117" s="113">
        <f ca="1">OFFSET(TblProd[[#This Row],[Boats]],-1,0)+OFFSET(TblProd[[#This Row],[Boats/hr]],-1,0)</f>
        <v>90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2250</v>
      </c>
      <c r="Q117" s="113">
        <v>10000</v>
      </c>
      <c r="R117" s="184"/>
      <c r="S117" s="113">
        <f ca="1">ROUNDDOWN(TblProd[[#This Row],[Raw Plat/hr]]*(1+TblProd[[#This Row],[Bonus Plat/hr]]),0)</f>
        <v>25083</v>
      </c>
      <c r="T117" s="113">
        <f ca="1">ROUND(TblProd[[#This Row],[Raw Food/hr]]*(1+TblProd[[#This Row],[Bonus Food/hr]])-TblProd[[#This Row],[Food decay]]-TblProd[[#This Row],[Food eaten]],0)</f>
        <v>-32</v>
      </c>
      <c r="U117" s="113">
        <f ca="1">ROUND(TblProd[[#This Row],[Raw Lumber/hr]]*(1+TblProd[[#This Row],[Bonus Lumber/hr]])-TblProd[[#This Row],[Lumber rot]],0)</f>
        <v>435</v>
      </c>
      <c r="V117" s="113">
        <f ca="1">ROUND(TblProd[[#This Row],[Raw Mana/hr]]*(1+TblProd[[#This Row],[Bonus Mana/hr]])-TblProd[[#This Row],[Mana drain]],0)</f>
        <v>133</v>
      </c>
      <c r="W117" s="113">
        <f ca="1">ROUNDDOWN(TblProd[[#This Row],[Raw Ore/hr]]*(1+TblProd[[#This Row],[Bonux Ore/hr]]),0)</f>
        <v>1800</v>
      </c>
      <c r="X117" s="113">
        <f ca="1">ROUNDDOWN(TblProd[[#This Row],[Raw Gems/hr]]*(1+TblProd[[#This Row],[Bonus Gems/hr]]),0)</f>
        <v>0</v>
      </c>
      <c r="Y117" s="201">
        <f ca="1">OFFSET(TblConstr[[#This Row],[Tot Doc]],1,0)*dock_boats_hr * (1 + tech_4_1*TblTech[[#This Row],[4-1]])</f>
        <v>1</v>
      </c>
      <c r="Z117" s="200"/>
      <c r="AA117" s="113">
        <f ca="1">TblPop[[#This Row],[Peasants]]*tax*TblPop[[#This Row],[Employment]] + (Construction!AZ118+Construction!BX118)*(alch_plat+(Magic!AL117&gt;0)*alchemist_flame_bonus)</f>
        <v>25083</v>
      </c>
      <c r="AB117" s="113">
        <f ca="1">TblConstr[[#This Row],[Tot Farm]]*farm_food + TblConstr[[#This Row],[Tot Doc]]*dock_food</f>
        <v>3100</v>
      </c>
      <c r="AC117" s="113">
        <f ca="1">TblConstr[[#This Row],[Tot Ly]]*ly_lumber + TblConstr[[#This Row],[Tot Hav]]*fh_lumber</f>
        <v>1000</v>
      </c>
      <c r="AD117" s="113">
        <f ca="1">OFFSET(TblConstr[[#This Row],[Tot Tow]],1,0)*(tower_mana + tech_4_5*TblTech[[#This Row],[4-5]])</f>
        <v>375</v>
      </c>
      <c r="AE117" s="113">
        <f ca="1">OFFSET(TblConstr[[#This Row],[Tot OM]],1,0)*om_ore+IF(race="Dwarf",ROUNDDOWN(TblMili[[#This Row],[Unit 2]]/2,0),)</f>
        <v>1800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873.55000000000007</v>
      </c>
      <c r="AP117" s="113">
        <f ca="1">(1+race_food_consumption)*TblPop[[#This Row],[Total]]*food_per_person*(1+tech_1_10*TblTech[[#This Row],[1-10]]+tech_7_5*TblTech[[#This Row],[7-5]])</f>
        <v>2490.75</v>
      </c>
      <c r="AQ117" s="113">
        <f ca="1">TblProd[[#This Row],[Lumber]]*lumber_rot * (1 + tech_2_1*TblTech[[#This Row],[2-1]] + tech_2_8*TblTech[[#This Row],[2-8]] + tech_5_2*TblTech[[#This Row],[5-2]])</f>
        <v>565.15</v>
      </c>
      <c r="AR117" s="113">
        <f ca="1">TblProd[[#This Row],[Mana]]*mana_drain * (1 + tech_2_1*TblTech[[#This Row],[2-1]] + tech_2_8*TblTech[[#This Row],[2-8]])</f>
        <v>241.99</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44409.458333333059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1497608</v>
      </c>
      <c r="BJ117" s="113">
        <f ca="1">TblProd[[#This Row],[Food]]</f>
        <v>87355</v>
      </c>
      <c r="BK117" s="113">
        <f ca="1">TblProd[[#This Row],[Lumber]]</f>
        <v>56515</v>
      </c>
      <c r="BL117" s="113">
        <f ca="1">TblProd[[#This Row],[Mana]]</f>
        <v>12099.5</v>
      </c>
      <c r="BM117" s="113">
        <f ca="1">TblProd[[#This Row],[Ore]]</f>
        <v>92990</v>
      </c>
    </row>
    <row r="118" spans="1:65" x14ac:dyDescent="0.2">
      <c r="A118" s="178">
        <v>43</v>
      </c>
      <c r="B118" s="198">
        <f ca="1">TblImps[[#This Row],[Time]]</f>
        <v>44409.499999999724</v>
      </c>
      <c r="C118" s="199"/>
      <c r="D118" s="200"/>
      <c r="E118" s="113">
        <f ca="1">TblConstr[[#This Row],[Land]]</f>
        <v>600</v>
      </c>
      <c r="F118" s="113">
        <f ca="1">TblPop[[#This Row],[Peasants]]</f>
        <v>4841</v>
      </c>
      <c r="G118" s="113">
        <f ca="1">TblMili[[#This Row],[Networth (2)]]</f>
        <v>29507.5</v>
      </c>
      <c r="H118" s="113">
        <f ca="1">OFFSET(TblProd[[#This Row],[Platinum]],-1,0)+OFFSET(TblProd[[#This Row],[Plat/hr]],-1,0) - TblProd[[#This Row],[Expenses Platinum]] + IF(TblProd[[#This Row],[Plat Bonus]],TblPop[[#This Row],[Peasants]]*4) + SUM(TblConstr[[#This Row],[Dest Hom]:[Dest Doc]])*TblConstr[[#This Row],[CPA Platinum -DB]]*tech_3_3_2*TblTech[[#This Row],[3-3]]</f>
        <v>1522691</v>
      </c>
      <c r="I118" s="113">
        <f ca="1">OFFSET(TblProd[[#This Row],[Food]],-1,0)+OFFSET(TblProd[[#This Row],[Food/hr]],-1,0)+ROUNDUP((TblConstr[[#This Row],[Farms]]*80+TblConstr[[#This Row],[Docks]]*35)*(1+OFFSET(TblProd[[#This Row],[Bonus Food/hr]],-1,0)),0)</f>
        <v>87323</v>
      </c>
      <c r="J118" s="113">
        <f ca="1">OFFSET(TblProd[[#This Row],[Lumber]],-1,0)+OFFSET(TblProd[[#This Row],[Lumber/hr]],-1,0) - TblProd[[#This Row],[Expenses Lumber]] + SUM(TblConstr[[#This Row],[Dest Hom]:[Dest Doc]])*TblConstr[[#This Row],[CPA Lumber -DB]]*tech_3_3_2*TblTech[[#This Row],[3-3]]</f>
        <v>56950</v>
      </c>
      <c r="K118" s="113">
        <f ca="1">OFFSET(TblProd[[#This Row],[Mana]],-1,0)+OFFSET(TblProd[[#This Row],[Mana/hr]],-1,0)- TblProd[[#This Row],[Expenses Mana]]</f>
        <v>12232.5</v>
      </c>
      <c r="L118" s="113">
        <f ca="1">OFFSET(TblProd[[#This Row],[Ore]],-1,0)+OFFSET(TblProd[[#This Row],[Ore/hr]],-1,0) -TblProd[[#This Row],[Expenses Ore]]</f>
        <v>94790</v>
      </c>
      <c r="M118" s="113">
        <f ca="1">OFFSET(TblProd[[#This Row],[Gems]],-1,0)+OFFSET(TblProd[[#This Row],[Gems/hr]],-1,0) - TblProd[[#This Row],[Expenses Gems]]</f>
        <v>0</v>
      </c>
      <c r="N118" s="113">
        <f ca="1">OFFSET(TblProd[[#This Row],[Boats]],-1,0)+OFFSET(TblProd[[#This Row],[Boats/hr]],-1,0)</f>
        <v>91</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2250</v>
      </c>
      <c r="Q118" s="113">
        <v>10000</v>
      </c>
      <c r="R118" s="184"/>
      <c r="S118" s="113">
        <f ca="1">ROUNDDOWN(TblProd[[#This Row],[Raw Plat/hr]]*(1+TblProd[[#This Row],[Bonus Plat/hr]]),0)</f>
        <v>24950</v>
      </c>
      <c r="T118" s="113">
        <f ca="1">ROUND(TblProd[[#This Row],[Raw Food/hr]]*(1+TblProd[[#This Row],[Bonus Food/hr]])-TblProd[[#This Row],[Food decay]]-TblProd[[#This Row],[Food eaten]],0)</f>
        <v>-31</v>
      </c>
      <c r="U118" s="113">
        <f ca="1">ROUND(TblProd[[#This Row],[Raw Lumber/hr]]*(1+TblProd[[#This Row],[Bonus Lumber/hr]])-TblProd[[#This Row],[Lumber rot]],0)</f>
        <v>431</v>
      </c>
      <c r="V118" s="113">
        <f ca="1">ROUND(TblProd[[#This Row],[Raw Mana/hr]]*(1+TblProd[[#This Row],[Bonus Mana/hr]])-TblProd[[#This Row],[Mana drain]],0)</f>
        <v>130</v>
      </c>
      <c r="W118" s="113">
        <f ca="1">ROUNDDOWN(TblProd[[#This Row],[Raw Ore/hr]]*(1+TblProd[[#This Row],[Bonux Ore/hr]]),0)</f>
        <v>1800</v>
      </c>
      <c r="X118" s="113">
        <f ca="1">ROUNDDOWN(TblProd[[#This Row],[Raw Gems/hr]]*(1+TblProd[[#This Row],[Bonus Gems/hr]]),0)</f>
        <v>0</v>
      </c>
      <c r="Y118" s="201">
        <f ca="1">OFFSET(TblConstr[[#This Row],[Tot Doc]],1,0)*dock_boats_hr * (1 + tech_4_1*TblTech[[#This Row],[4-1]])</f>
        <v>1</v>
      </c>
      <c r="Z118" s="200"/>
      <c r="AA118" s="113">
        <f ca="1">TblPop[[#This Row],[Peasants]]*tax*TblPop[[#This Row],[Employment]] + (Construction!AZ119+Construction!BX119)*(alch_plat+(Magic!AL118&gt;0)*alchemist_flame_bonus)</f>
        <v>24950.7</v>
      </c>
      <c r="AB118" s="113">
        <f ca="1">TblConstr[[#This Row],[Tot Farm]]*farm_food + TblConstr[[#This Row],[Tot Doc]]*dock_food</f>
        <v>3100</v>
      </c>
      <c r="AC118" s="113">
        <f ca="1">TblConstr[[#This Row],[Tot Ly]]*ly_lumber + TblConstr[[#This Row],[Tot Hav]]*fh_lumber</f>
        <v>1000</v>
      </c>
      <c r="AD118" s="113">
        <f ca="1">OFFSET(TblConstr[[#This Row],[Tot Tow]],1,0)*(tower_mana + tech_4_5*TblTech[[#This Row],[4-5]])</f>
        <v>375</v>
      </c>
      <c r="AE118" s="113">
        <f ca="1">OFFSET(TblConstr[[#This Row],[Tot OM]],1,0)*om_ore+IF(race="Dwarf",ROUNDDOWN(TblMili[[#This Row],[Unit 2]]/2,0),)</f>
        <v>1800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873.23</v>
      </c>
      <c r="AP118" s="113">
        <f ca="1">(1+race_food_consumption)*TblPop[[#This Row],[Total]]*food_per_person*(1+tech_1_10*TblTech[[#This Row],[1-10]]+tech_7_5*TblTech[[#This Row],[7-5]])</f>
        <v>2490.75</v>
      </c>
      <c r="AQ118" s="113">
        <f ca="1">TblProd[[#This Row],[Lumber]]*lumber_rot * (1 + tech_2_1*TblTech[[#This Row],[2-1]] + tech_2_8*TblTech[[#This Row],[2-8]] + tech_5_2*TblTech[[#This Row],[5-2]])</f>
        <v>569.5</v>
      </c>
      <c r="AR118" s="113">
        <f ca="1">TblProd[[#This Row],[Mana]]*mana_drain * (1 + tech_2_1*TblTech[[#This Row],[2-1]] + tech_2_8*TblTech[[#This Row],[2-8]])</f>
        <v>244.65</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44409.499999999724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1522691</v>
      </c>
      <c r="BJ118" s="113">
        <f ca="1">TblProd[[#This Row],[Food]]</f>
        <v>87323</v>
      </c>
      <c r="BK118" s="113">
        <f ca="1">TblProd[[#This Row],[Lumber]]</f>
        <v>56950</v>
      </c>
      <c r="BL118" s="113">
        <f ca="1">TblProd[[#This Row],[Mana]]</f>
        <v>12232.5</v>
      </c>
      <c r="BM118" s="113">
        <f ca="1">TblProd[[#This Row],[Ore]]</f>
        <v>94790</v>
      </c>
    </row>
    <row r="119" spans="1:65" x14ac:dyDescent="0.2">
      <c r="A119" s="178">
        <v>44</v>
      </c>
      <c r="B119" s="198">
        <f ca="1">TblImps[[#This Row],[Time]]</f>
        <v>44409.541666666388</v>
      </c>
      <c r="C119" s="199"/>
      <c r="D119" s="200"/>
      <c r="E119" s="113">
        <f ca="1">TblConstr[[#This Row],[Land]]</f>
        <v>600</v>
      </c>
      <c r="F119" s="113">
        <f ca="1">TblPop[[#This Row],[Peasants]]</f>
        <v>4793</v>
      </c>
      <c r="G119" s="113">
        <f ca="1">TblMili[[#This Row],[Networth (2)]]</f>
        <v>29507.5</v>
      </c>
      <c r="H119" s="113">
        <f ca="1">OFFSET(TblProd[[#This Row],[Platinum]],-1,0)+OFFSET(TblProd[[#This Row],[Plat/hr]],-1,0) - TblProd[[#This Row],[Expenses Platinum]] + IF(TblProd[[#This Row],[Plat Bonus]],TblPop[[#This Row],[Peasants]]*4) + SUM(TblConstr[[#This Row],[Dest Hom]:[Dest Doc]])*TblConstr[[#This Row],[CPA Platinum -DB]]*tech_3_3_2*TblTech[[#This Row],[3-3]]</f>
        <v>1547641</v>
      </c>
      <c r="I119" s="113">
        <f ca="1">OFFSET(TblProd[[#This Row],[Food]],-1,0)+OFFSET(TblProd[[#This Row],[Food/hr]],-1,0)+ROUNDUP((TblConstr[[#This Row],[Farms]]*80+TblConstr[[#This Row],[Docks]]*35)*(1+OFFSET(TblProd[[#This Row],[Bonus Food/hr]],-1,0)),0)</f>
        <v>87292</v>
      </c>
      <c r="J119" s="113">
        <f ca="1">OFFSET(TblProd[[#This Row],[Lumber]],-1,0)+OFFSET(TblProd[[#This Row],[Lumber/hr]],-1,0) - TblProd[[#This Row],[Expenses Lumber]] + SUM(TblConstr[[#This Row],[Dest Hom]:[Dest Doc]])*TblConstr[[#This Row],[CPA Lumber -DB]]*tech_3_3_2*TblTech[[#This Row],[3-3]]</f>
        <v>57381</v>
      </c>
      <c r="K119" s="113">
        <f ca="1">OFFSET(TblProd[[#This Row],[Mana]],-1,0)+OFFSET(TblProd[[#This Row],[Mana/hr]],-1,0)- TblProd[[#This Row],[Expenses Mana]]</f>
        <v>12362.5</v>
      </c>
      <c r="L119" s="113">
        <f ca="1">OFFSET(TblProd[[#This Row],[Ore]],-1,0)+OFFSET(TblProd[[#This Row],[Ore/hr]],-1,0) -TblProd[[#This Row],[Expenses Ore]]</f>
        <v>96590</v>
      </c>
      <c r="M119" s="113">
        <f ca="1">OFFSET(TblProd[[#This Row],[Gems]],-1,0)+OFFSET(TblProd[[#This Row],[Gems/hr]],-1,0) - TblProd[[#This Row],[Expenses Gems]]</f>
        <v>0</v>
      </c>
      <c r="N119" s="113">
        <f ca="1">OFFSET(TblProd[[#This Row],[Boats]],-1,0)+OFFSET(TblProd[[#This Row],[Boats/hr]],-1,0)</f>
        <v>92</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2250</v>
      </c>
      <c r="Q119" s="113">
        <v>10000</v>
      </c>
      <c r="R119" s="184"/>
      <c r="S119" s="113">
        <f ca="1">ROUNDDOWN(TblProd[[#This Row],[Raw Plat/hr]]*(1+TblProd[[#This Row],[Bonus Plat/hr]]),0)</f>
        <v>24821</v>
      </c>
      <c r="T119" s="113">
        <f ca="1">ROUND(TblProd[[#This Row],[Raw Food/hr]]*(1+TblProd[[#This Row],[Bonus Food/hr]])-TblProd[[#This Row],[Food decay]]-TblProd[[#This Row],[Food eaten]],0)</f>
        <v>-31</v>
      </c>
      <c r="U119" s="113">
        <f ca="1">ROUND(TblProd[[#This Row],[Raw Lumber/hr]]*(1+TblProd[[#This Row],[Bonus Lumber/hr]])-TblProd[[#This Row],[Lumber rot]],0)</f>
        <v>426</v>
      </c>
      <c r="V119" s="113">
        <f ca="1">ROUND(TblProd[[#This Row],[Raw Mana/hr]]*(1+TblProd[[#This Row],[Bonus Mana/hr]])-TblProd[[#This Row],[Mana drain]],0)</f>
        <v>128</v>
      </c>
      <c r="W119" s="113">
        <f ca="1">ROUNDDOWN(TblProd[[#This Row],[Raw Ore/hr]]*(1+TblProd[[#This Row],[Bonux Ore/hr]]),0)</f>
        <v>1800</v>
      </c>
      <c r="X119" s="113">
        <f ca="1">ROUNDDOWN(TblProd[[#This Row],[Raw Gems/hr]]*(1+TblProd[[#This Row],[Bonus Gems/hr]]),0)</f>
        <v>0</v>
      </c>
      <c r="Y119" s="201">
        <f ca="1">OFFSET(TblConstr[[#This Row],[Tot Doc]],1,0)*dock_boats_hr * (1 + tech_4_1*TblTech[[#This Row],[4-1]])</f>
        <v>1</v>
      </c>
      <c r="Z119" s="200"/>
      <c r="AA119" s="113">
        <f ca="1">TblPop[[#This Row],[Peasants]]*tax*TblPop[[#This Row],[Employment]] + (Construction!AZ120+Construction!BX120)*(alch_plat+(Magic!AL119&gt;0)*alchemist_flame_bonus)</f>
        <v>24821.1</v>
      </c>
      <c r="AB119" s="113">
        <f ca="1">TblConstr[[#This Row],[Tot Farm]]*farm_food + TblConstr[[#This Row],[Tot Doc]]*dock_food</f>
        <v>3100</v>
      </c>
      <c r="AC119" s="113">
        <f ca="1">TblConstr[[#This Row],[Tot Ly]]*ly_lumber + TblConstr[[#This Row],[Tot Hav]]*fh_lumber</f>
        <v>1000</v>
      </c>
      <c r="AD119" s="113">
        <f ca="1">OFFSET(TblConstr[[#This Row],[Tot Tow]],1,0)*(tower_mana + tech_4_5*TblTech[[#This Row],[4-5]])</f>
        <v>375</v>
      </c>
      <c r="AE119" s="113">
        <f ca="1">OFFSET(TblConstr[[#This Row],[Tot OM]],1,0)*om_ore+IF(race="Dwarf",ROUNDDOWN(TblMili[[#This Row],[Unit 2]]/2,0),)</f>
        <v>1800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872.92000000000007</v>
      </c>
      <c r="AP119" s="113">
        <f ca="1">(1+race_food_consumption)*TblPop[[#This Row],[Total]]*food_per_person*(1+tech_1_10*TblTech[[#This Row],[1-10]]+tech_7_5*TblTech[[#This Row],[7-5]])</f>
        <v>2490.75</v>
      </c>
      <c r="AQ119" s="113">
        <f ca="1">TblProd[[#This Row],[Lumber]]*lumber_rot * (1 + tech_2_1*TblTech[[#This Row],[2-1]] + tech_2_8*TblTech[[#This Row],[2-8]] + tech_5_2*TblTech[[#This Row],[5-2]])</f>
        <v>573.81000000000006</v>
      </c>
      <c r="AR119" s="113">
        <f ca="1">TblProd[[#This Row],[Mana]]*mana_drain * (1 + tech_2_1*TblTech[[#This Row],[2-1]] + tech_2_8*TblTech[[#This Row],[2-8]])</f>
        <v>247.25</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44409.541666666388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1547641</v>
      </c>
      <c r="BJ119" s="113">
        <f ca="1">TblProd[[#This Row],[Food]]</f>
        <v>87292</v>
      </c>
      <c r="BK119" s="113">
        <f ca="1">TblProd[[#This Row],[Lumber]]</f>
        <v>57381</v>
      </c>
      <c r="BL119" s="113">
        <f ca="1">TblProd[[#This Row],[Mana]]</f>
        <v>12362.5</v>
      </c>
      <c r="BM119" s="113">
        <f ca="1">TblProd[[#This Row],[Ore]]</f>
        <v>96590</v>
      </c>
    </row>
    <row r="120" spans="1:65" x14ac:dyDescent="0.2">
      <c r="A120" s="178">
        <v>45</v>
      </c>
      <c r="B120" s="198">
        <f ca="1">TblImps[[#This Row],[Time]]</f>
        <v>44409.583333333052</v>
      </c>
      <c r="C120" s="199"/>
      <c r="D120" s="200"/>
      <c r="E120" s="113">
        <f ca="1">TblConstr[[#This Row],[Land]]</f>
        <v>600</v>
      </c>
      <c r="F120" s="113">
        <f ca="1">TblPop[[#This Row],[Peasants]]</f>
        <v>4745</v>
      </c>
      <c r="G120" s="113">
        <f ca="1">TblMili[[#This Row],[Networth (2)]]</f>
        <v>29507.5</v>
      </c>
      <c r="H120" s="113">
        <f ca="1">OFFSET(TblProd[[#This Row],[Platinum]],-1,0)+OFFSET(TblProd[[#This Row],[Plat/hr]],-1,0) - TblProd[[#This Row],[Expenses Platinum]] + IF(TblProd[[#This Row],[Plat Bonus]],TblPop[[#This Row],[Peasants]]*4) + SUM(TblConstr[[#This Row],[Dest Hom]:[Dest Doc]])*TblConstr[[#This Row],[CPA Platinum -DB]]*tech_3_3_2*TblTech[[#This Row],[3-3]]</f>
        <v>1572462</v>
      </c>
      <c r="I120" s="113">
        <f ca="1">OFFSET(TblProd[[#This Row],[Food]],-1,0)+OFFSET(TblProd[[#This Row],[Food/hr]],-1,0)+ROUNDUP((TblConstr[[#This Row],[Farms]]*80+TblConstr[[#This Row],[Docks]]*35)*(1+OFFSET(TblProd[[#This Row],[Bonus Food/hr]],-1,0)),0)</f>
        <v>87261</v>
      </c>
      <c r="J120" s="113">
        <f ca="1">OFFSET(TblProd[[#This Row],[Lumber]],-1,0)+OFFSET(TblProd[[#This Row],[Lumber/hr]],-1,0) - TblProd[[#This Row],[Expenses Lumber]] + SUM(TblConstr[[#This Row],[Dest Hom]:[Dest Doc]])*TblConstr[[#This Row],[CPA Lumber -DB]]*tech_3_3_2*TblTech[[#This Row],[3-3]]</f>
        <v>57807</v>
      </c>
      <c r="K120" s="113">
        <f ca="1">OFFSET(TblProd[[#This Row],[Mana]],-1,0)+OFFSET(TblProd[[#This Row],[Mana/hr]],-1,0)- TblProd[[#This Row],[Expenses Mana]]</f>
        <v>12490.5</v>
      </c>
      <c r="L120" s="113">
        <f ca="1">OFFSET(TblProd[[#This Row],[Ore]],-1,0)+OFFSET(TblProd[[#This Row],[Ore/hr]],-1,0) -TblProd[[#This Row],[Expenses Ore]]</f>
        <v>98390</v>
      </c>
      <c r="M120" s="113">
        <f ca="1">OFFSET(TblProd[[#This Row],[Gems]],-1,0)+OFFSET(TblProd[[#This Row],[Gems/hr]],-1,0) - TblProd[[#This Row],[Expenses Gems]]</f>
        <v>0</v>
      </c>
      <c r="N120" s="113">
        <f ca="1">OFFSET(TblProd[[#This Row],[Boats]],-1,0)+OFFSET(TblProd[[#This Row],[Boats/hr]],-1,0)</f>
        <v>93</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2250</v>
      </c>
      <c r="Q120" s="113">
        <v>10000</v>
      </c>
      <c r="R120" s="184"/>
      <c r="S120" s="113">
        <f ca="1">ROUNDDOWN(TblProd[[#This Row],[Raw Plat/hr]]*(1+TblProd[[#This Row],[Bonus Plat/hr]]),0)</f>
        <v>24691</v>
      </c>
      <c r="T120" s="113">
        <f ca="1">ROUND(TblProd[[#This Row],[Raw Food/hr]]*(1+TblProd[[#This Row],[Bonus Food/hr]])-TblProd[[#This Row],[Food decay]]-TblProd[[#This Row],[Food eaten]],0)</f>
        <v>-31</v>
      </c>
      <c r="U120" s="113">
        <f ca="1">ROUND(TblProd[[#This Row],[Raw Lumber/hr]]*(1+TblProd[[#This Row],[Bonus Lumber/hr]])-TblProd[[#This Row],[Lumber rot]],0)</f>
        <v>422</v>
      </c>
      <c r="V120" s="113">
        <f ca="1">ROUND(TblProd[[#This Row],[Raw Mana/hr]]*(1+TblProd[[#This Row],[Bonus Mana/hr]])-TblProd[[#This Row],[Mana drain]],0)</f>
        <v>125</v>
      </c>
      <c r="W120" s="113">
        <f ca="1">ROUNDDOWN(TblProd[[#This Row],[Raw Ore/hr]]*(1+TblProd[[#This Row],[Bonux Ore/hr]]),0)</f>
        <v>1800</v>
      </c>
      <c r="X120" s="113">
        <f ca="1">ROUNDDOWN(TblProd[[#This Row],[Raw Gems/hr]]*(1+TblProd[[#This Row],[Bonus Gems/hr]]),0)</f>
        <v>0</v>
      </c>
      <c r="Y120" s="201">
        <f ca="1">OFFSET(TblConstr[[#This Row],[Tot Doc]],1,0)*dock_boats_hr * (1 + tech_4_1*TblTech[[#This Row],[4-1]])</f>
        <v>1</v>
      </c>
      <c r="Z120" s="200"/>
      <c r="AA120" s="113">
        <f ca="1">TblPop[[#This Row],[Peasants]]*tax*TblPop[[#This Row],[Employment]] + (Construction!AZ121+Construction!BX121)*(alch_plat+(Magic!AL120&gt;0)*alchemist_flame_bonus)</f>
        <v>24691.5</v>
      </c>
      <c r="AB120" s="113">
        <f ca="1">TblConstr[[#This Row],[Tot Farm]]*farm_food + TblConstr[[#This Row],[Tot Doc]]*dock_food</f>
        <v>3100</v>
      </c>
      <c r="AC120" s="113">
        <f ca="1">TblConstr[[#This Row],[Tot Ly]]*ly_lumber + TblConstr[[#This Row],[Tot Hav]]*fh_lumber</f>
        <v>1000</v>
      </c>
      <c r="AD120" s="113">
        <f ca="1">OFFSET(TblConstr[[#This Row],[Tot Tow]],1,0)*(tower_mana + tech_4_5*TblTech[[#This Row],[4-5]])</f>
        <v>375</v>
      </c>
      <c r="AE120" s="113">
        <f ca="1">OFFSET(TblConstr[[#This Row],[Tot OM]],1,0)*om_ore+IF(race="Dwarf",ROUNDDOWN(TblMili[[#This Row],[Unit 2]]/2,0),)</f>
        <v>1800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872.61</v>
      </c>
      <c r="AP120" s="113">
        <f ca="1">(1+race_food_consumption)*TblPop[[#This Row],[Total]]*food_per_person*(1+tech_1_10*TblTech[[#This Row],[1-10]]+tech_7_5*TblTech[[#This Row],[7-5]])</f>
        <v>2490.75</v>
      </c>
      <c r="AQ120" s="113">
        <f ca="1">TblProd[[#This Row],[Lumber]]*lumber_rot * (1 + tech_2_1*TblTech[[#This Row],[2-1]] + tech_2_8*TblTech[[#This Row],[2-8]] + tech_5_2*TblTech[[#This Row],[5-2]])</f>
        <v>578.07000000000005</v>
      </c>
      <c r="AR120" s="113">
        <f ca="1">TblProd[[#This Row],[Mana]]*mana_drain * (1 + tech_2_1*TblTech[[#This Row],[2-1]] + tech_2_8*TblTech[[#This Row],[2-8]])</f>
        <v>249.81</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44409.583333333052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1572462</v>
      </c>
      <c r="BJ120" s="113">
        <f ca="1">TblProd[[#This Row],[Food]]</f>
        <v>87261</v>
      </c>
      <c r="BK120" s="113">
        <f ca="1">TblProd[[#This Row],[Lumber]]</f>
        <v>57807</v>
      </c>
      <c r="BL120" s="113">
        <f ca="1">TblProd[[#This Row],[Mana]]</f>
        <v>12490.5</v>
      </c>
      <c r="BM120" s="113">
        <f ca="1">TblProd[[#This Row],[Ore]]</f>
        <v>98390</v>
      </c>
    </row>
    <row r="121" spans="1:65" x14ac:dyDescent="0.2">
      <c r="A121" s="178">
        <v>46</v>
      </c>
      <c r="B121" s="198">
        <f ca="1">TblImps[[#This Row],[Time]]</f>
        <v>44409.624999999716</v>
      </c>
      <c r="C121" s="199"/>
      <c r="D121" s="200"/>
      <c r="E121" s="113">
        <f ca="1">TblConstr[[#This Row],[Land]]</f>
        <v>600</v>
      </c>
      <c r="F121" s="113">
        <f ca="1">TblPop[[#This Row],[Peasants]]</f>
        <v>4698</v>
      </c>
      <c r="G121" s="113">
        <f ca="1">TblMili[[#This Row],[Networth (2)]]</f>
        <v>29507.5</v>
      </c>
      <c r="H121" s="113">
        <f ca="1">OFFSET(TblProd[[#This Row],[Platinum]],-1,0)+OFFSET(TblProd[[#This Row],[Plat/hr]],-1,0) - TblProd[[#This Row],[Expenses Platinum]] + IF(TblProd[[#This Row],[Plat Bonus]],TblPop[[#This Row],[Peasants]]*4) + SUM(TblConstr[[#This Row],[Dest Hom]:[Dest Doc]])*TblConstr[[#This Row],[CPA Platinum -DB]]*tech_3_3_2*TblTech[[#This Row],[3-3]]</f>
        <v>1597153</v>
      </c>
      <c r="I121" s="113">
        <f ca="1">OFFSET(TblProd[[#This Row],[Food]],-1,0)+OFFSET(TblProd[[#This Row],[Food/hr]],-1,0)+ROUNDUP((TblConstr[[#This Row],[Farms]]*80+TblConstr[[#This Row],[Docks]]*35)*(1+OFFSET(TblProd[[#This Row],[Bonus Food/hr]],-1,0)),0)</f>
        <v>87230</v>
      </c>
      <c r="J121" s="113">
        <f ca="1">OFFSET(TblProd[[#This Row],[Lumber]],-1,0)+OFFSET(TblProd[[#This Row],[Lumber/hr]],-1,0) - TblProd[[#This Row],[Expenses Lumber]] + SUM(TblConstr[[#This Row],[Dest Hom]:[Dest Doc]])*TblConstr[[#This Row],[CPA Lumber -DB]]*tech_3_3_2*TblTech[[#This Row],[3-3]]</f>
        <v>58229</v>
      </c>
      <c r="K121" s="113">
        <f ca="1">OFFSET(TblProd[[#This Row],[Mana]],-1,0)+OFFSET(TblProd[[#This Row],[Mana/hr]],-1,0)- TblProd[[#This Row],[Expenses Mana]]</f>
        <v>12615.5</v>
      </c>
      <c r="L121" s="113">
        <f ca="1">OFFSET(TblProd[[#This Row],[Ore]],-1,0)+OFFSET(TblProd[[#This Row],[Ore/hr]],-1,0) -TblProd[[#This Row],[Expenses Ore]]</f>
        <v>100190</v>
      </c>
      <c r="M121" s="113">
        <f ca="1">OFFSET(TblProd[[#This Row],[Gems]],-1,0)+OFFSET(TblProd[[#This Row],[Gems/hr]],-1,0) - TblProd[[#This Row],[Expenses Gems]]</f>
        <v>0</v>
      </c>
      <c r="N121" s="113">
        <f ca="1">OFFSET(TblProd[[#This Row],[Boats]],-1,0)+OFFSET(TblProd[[#This Row],[Boats/hr]],-1,0)</f>
        <v>94</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2250</v>
      </c>
      <c r="Q121" s="113">
        <v>10000</v>
      </c>
      <c r="R121" s="184"/>
      <c r="S121" s="113">
        <f ca="1">ROUNDDOWN(TblProd[[#This Row],[Raw Plat/hr]]*(1+TblProd[[#This Row],[Bonus Plat/hr]]),0)</f>
        <v>24564</v>
      </c>
      <c r="T121" s="113">
        <f ca="1">ROUND(TblProd[[#This Row],[Raw Food/hr]]*(1+TblProd[[#This Row],[Bonus Food/hr]])-TblProd[[#This Row],[Food decay]]-TblProd[[#This Row],[Food eaten]],0)</f>
        <v>-31</v>
      </c>
      <c r="U121" s="113">
        <f ca="1">ROUND(TblProd[[#This Row],[Raw Lumber/hr]]*(1+TblProd[[#This Row],[Bonus Lumber/hr]])-TblProd[[#This Row],[Lumber rot]],0)</f>
        <v>418</v>
      </c>
      <c r="V121" s="113">
        <f ca="1">ROUND(TblProd[[#This Row],[Raw Mana/hr]]*(1+TblProd[[#This Row],[Bonus Mana/hr]])-TblProd[[#This Row],[Mana drain]],0)</f>
        <v>123</v>
      </c>
      <c r="W121" s="113">
        <f ca="1">ROUNDDOWN(TblProd[[#This Row],[Raw Ore/hr]]*(1+TblProd[[#This Row],[Bonux Ore/hr]]),0)</f>
        <v>1800</v>
      </c>
      <c r="X121" s="113">
        <f ca="1">ROUNDDOWN(TblProd[[#This Row],[Raw Gems/hr]]*(1+TblProd[[#This Row],[Bonus Gems/hr]]),0)</f>
        <v>0</v>
      </c>
      <c r="Y121" s="201">
        <f ca="1">OFFSET(TblConstr[[#This Row],[Tot Doc]],1,0)*dock_boats_hr * (1 + tech_4_1*TblTech[[#This Row],[4-1]])</f>
        <v>1</v>
      </c>
      <c r="Z121" s="200"/>
      <c r="AA121" s="113">
        <f ca="1">TblPop[[#This Row],[Peasants]]*tax*TblPop[[#This Row],[Employment]] + (Construction!AZ122+Construction!BX122)*(alch_plat+(Magic!AL121&gt;0)*alchemist_flame_bonus)</f>
        <v>24564.6</v>
      </c>
      <c r="AB121" s="113">
        <f ca="1">TblConstr[[#This Row],[Tot Farm]]*farm_food + TblConstr[[#This Row],[Tot Doc]]*dock_food</f>
        <v>3100</v>
      </c>
      <c r="AC121" s="113">
        <f ca="1">TblConstr[[#This Row],[Tot Ly]]*ly_lumber + TblConstr[[#This Row],[Tot Hav]]*fh_lumber</f>
        <v>1000</v>
      </c>
      <c r="AD121" s="113">
        <f ca="1">OFFSET(TblConstr[[#This Row],[Tot Tow]],1,0)*(tower_mana + tech_4_5*TblTech[[#This Row],[4-5]])</f>
        <v>375</v>
      </c>
      <c r="AE121" s="113">
        <f ca="1">OFFSET(TblConstr[[#This Row],[Tot OM]],1,0)*om_ore+IF(race="Dwarf",ROUNDDOWN(TblMili[[#This Row],[Unit 2]]/2,0),)</f>
        <v>1800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872.30000000000007</v>
      </c>
      <c r="AP121" s="113">
        <f ca="1">(1+race_food_consumption)*TblPop[[#This Row],[Total]]*food_per_person*(1+tech_1_10*TblTech[[#This Row],[1-10]]+tech_7_5*TblTech[[#This Row],[7-5]])</f>
        <v>2490.75</v>
      </c>
      <c r="AQ121" s="113">
        <f ca="1">TblProd[[#This Row],[Lumber]]*lumber_rot * (1 + tech_2_1*TblTech[[#This Row],[2-1]] + tech_2_8*TblTech[[#This Row],[2-8]] + tech_5_2*TblTech[[#This Row],[5-2]])</f>
        <v>582.29</v>
      </c>
      <c r="AR121" s="113">
        <f ca="1">TblProd[[#This Row],[Mana]]*mana_drain * (1 + tech_2_1*TblTech[[#This Row],[2-1]] + tech_2_8*TblTech[[#This Row],[2-8]])</f>
        <v>252.31</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44409.624999999716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1597153</v>
      </c>
      <c r="BJ121" s="113">
        <f ca="1">TblProd[[#This Row],[Food]]</f>
        <v>87230</v>
      </c>
      <c r="BK121" s="113">
        <f ca="1">TblProd[[#This Row],[Lumber]]</f>
        <v>58229</v>
      </c>
      <c r="BL121" s="113">
        <f ca="1">TblProd[[#This Row],[Mana]]</f>
        <v>12615.5</v>
      </c>
      <c r="BM121" s="113">
        <f ca="1">TblProd[[#This Row],[Ore]]</f>
        <v>100190</v>
      </c>
    </row>
    <row r="122" spans="1:65" x14ac:dyDescent="0.2">
      <c r="A122" s="178">
        <v>47</v>
      </c>
      <c r="B122" s="198">
        <f ca="1">TblImps[[#This Row],[Time]]</f>
        <v>44409.66666666638</v>
      </c>
      <c r="C122" s="199"/>
      <c r="D122" s="200"/>
      <c r="E122" s="113">
        <f ca="1">TblConstr[[#This Row],[Land]]</f>
        <v>600</v>
      </c>
      <c r="F122" s="113">
        <f ca="1">TblPop[[#This Row],[Peasants]]</f>
        <v>4651</v>
      </c>
      <c r="G122" s="113">
        <f ca="1">TblMili[[#This Row],[Networth (2)]]</f>
        <v>29507.5</v>
      </c>
      <c r="H122" s="113">
        <f ca="1">OFFSET(TblProd[[#This Row],[Platinum]],-1,0)+OFFSET(TblProd[[#This Row],[Plat/hr]],-1,0) - TblProd[[#This Row],[Expenses Platinum]] + IF(TblProd[[#This Row],[Plat Bonus]],TblPop[[#This Row],[Peasants]]*4) + SUM(TblConstr[[#This Row],[Dest Hom]:[Dest Doc]])*TblConstr[[#This Row],[CPA Platinum -DB]]*tech_3_3_2*TblTech[[#This Row],[3-3]]</f>
        <v>1621717</v>
      </c>
      <c r="I122" s="113">
        <f ca="1">OFFSET(TblProd[[#This Row],[Food]],-1,0)+OFFSET(TblProd[[#This Row],[Food/hr]],-1,0)+ROUNDUP((TblConstr[[#This Row],[Farms]]*80+TblConstr[[#This Row],[Docks]]*35)*(1+OFFSET(TblProd[[#This Row],[Bonus Food/hr]],-1,0)),0)</f>
        <v>87199</v>
      </c>
      <c r="J122" s="113">
        <f ca="1">OFFSET(TblProd[[#This Row],[Lumber]],-1,0)+OFFSET(TblProd[[#This Row],[Lumber/hr]],-1,0) - TblProd[[#This Row],[Expenses Lumber]] + SUM(TblConstr[[#This Row],[Dest Hom]:[Dest Doc]])*TblConstr[[#This Row],[CPA Lumber -DB]]*tech_3_3_2*TblTech[[#This Row],[3-3]]</f>
        <v>58647</v>
      </c>
      <c r="K122" s="113">
        <f ca="1">OFFSET(TblProd[[#This Row],[Mana]],-1,0)+OFFSET(TblProd[[#This Row],[Mana/hr]],-1,0)- TblProd[[#This Row],[Expenses Mana]]</f>
        <v>12738.5</v>
      </c>
      <c r="L122" s="113">
        <f ca="1">OFFSET(TblProd[[#This Row],[Ore]],-1,0)+OFFSET(TblProd[[#This Row],[Ore/hr]],-1,0) -TblProd[[#This Row],[Expenses Ore]]</f>
        <v>101990</v>
      </c>
      <c r="M122" s="113">
        <f ca="1">OFFSET(TblProd[[#This Row],[Gems]],-1,0)+OFFSET(TblProd[[#This Row],[Gems/hr]],-1,0) - TblProd[[#This Row],[Expenses Gems]]</f>
        <v>0</v>
      </c>
      <c r="N122" s="113">
        <f ca="1">OFFSET(TblProd[[#This Row],[Boats]],-1,0)+OFFSET(TblProd[[#This Row],[Boats/hr]],-1,0)</f>
        <v>95</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2250</v>
      </c>
      <c r="Q122" s="113">
        <v>10000</v>
      </c>
      <c r="R122" s="184"/>
      <c r="S122" s="113">
        <f ca="1">ROUNDDOWN(TblProd[[#This Row],[Raw Plat/hr]]*(1+TblProd[[#This Row],[Bonus Plat/hr]]),0)</f>
        <v>24437</v>
      </c>
      <c r="T122" s="113">
        <f ca="1">ROUND(TblProd[[#This Row],[Raw Food/hr]]*(1+TblProd[[#This Row],[Bonus Food/hr]])-TblProd[[#This Row],[Food decay]]-TblProd[[#This Row],[Food eaten]],0)</f>
        <v>-30</v>
      </c>
      <c r="U122" s="113">
        <f ca="1">ROUND(TblProd[[#This Row],[Raw Lumber/hr]]*(1+TblProd[[#This Row],[Bonus Lumber/hr]])-TblProd[[#This Row],[Lumber rot]],0)</f>
        <v>414</v>
      </c>
      <c r="V122" s="113">
        <f ca="1">ROUND(TblProd[[#This Row],[Raw Mana/hr]]*(1+TblProd[[#This Row],[Bonus Mana/hr]])-TblProd[[#This Row],[Mana drain]],0)</f>
        <v>120</v>
      </c>
      <c r="W122" s="113">
        <f ca="1">ROUNDDOWN(TblProd[[#This Row],[Raw Ore/hr]]*(1+TblProd[[#This Row],[Bonux Ore/hr]]),0)</f>
        <v>1800</v>
      </c>
      <c r="X122" s="113">
        <f ca="1">ROUNDDOWN(TblProd[[#This Row],[Raw Gems/hr]]*(1+TblProd[[#This Row],[Bonus Gems/hr]]),0)</f>
        <v>0</v>
      </c>
      <c r="Y122" s="201">
        <f ca="1">OFFSET(TblConstr[[#This Row],[Tot Doc]],1,0)*dock_boats_hr * (1 + tech_4_1*TblTech[[#This Row],[4-1]])</f>
        <v>1</v>
      </c>
      <c r="Z122" s="200"/>
      <c r="AA122" s="113">
        <f ca="1">TblPop[[#This Row],[Peasants]]*tax*TblPop[[#This Row],[Employment]] + (Construction!AZ123+Construction!BX123)*(alch_plat+(Magic!AL122&gt;0)*alchemist_flame_bonus)</f>
        <v>24437.7</v>
      </c>
      <c r="AB122" s="113">
        <f ca="1">TblConstr[[#This Row],[Tot Farm]]*farm_food + TblConstr[[#This Row],[Tot Doc]]*dock_food</f>
        <v>3100</v>
      </c>
      <c r="AC122" s="113">
        <f ca="1">TblConstr[[#This Row],[Tot Ly]]*ly_lumber + TblConstr[[#This Row],[Tot Hav]]*fh_lumber</f>
        <v>1000</v>
      </c>
      <c r="AD122" s="113">
        <f ca="1">OFFSET(TblConstr[[#This Row],[Tot Tow]],1,0)*(tower_mana + tech_4_5*TblTech[[#This Row],[4-5]])</f>
        <v>375</v>
      </c>
      <c r="AE122" s="113">
        <f ca="1">OFFSET(TblConstr[[#This Row],[Tot OM]],1,0)*om_ore+IF(race="Dwarf",ROUNDDOWN(TblMili[[#This Row],[Unit 2]]/2,0),)</f>
        <v>1800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871.99</v>
      </c>
      <c r="AP122" s="113">
        <f ca="1">(1+race_food_consumption)*TblPop[[#This Row],[Total]]*food_per_person*(1+tech_1_10*TblTech[[#This Row],[1-10]]+tech_7_5*TblTech[[#This Row],[7-5]])</f>
        <v>2490.75</v>
      </c>
      <c r="AQ122" s="113">
        <f ca="1">TblProd[[#This Row],[Lumber]]*lumber_rot * (1 + tech_2_1*TblTech[[#This Row],[2-1]] + tech_2_8*TblTech[[#This Row],[2-8]] + tech_5_2*TblTech[[#This Row],[5-2]])</f>
        <v>586.47</v>
      </c>
      <c r="AR122" s="113">
        <f ca="1">TblProd[[#This Row],[Mana]]*mana_drain * (1 + tech_2_1*TblTech[[#This Row],[2-1]] + tech_2_8*TblTech[[#This Row],[2-8]])</f>
        <v>254.77</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44409.66666666638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1621717</v>
      </c>
      <c r="BJ122" s="113">
        <f ca="1">TblProd[[#This Row],[Food]]</f>
        <v>87199</v>
      </c>
      <c r="BK122" s="113">
        <f ca="1">TblProd[[#This Row],[Lumber]]</f>
        <v>58647</v>
      </c>
      <c r="BL122" s="113">
        <f ca="1">TblProd[[#This Row],[Mana]]</f>
        <v>12738.5</v>
      </c>
      <c r="BM122" s="113">
        <f ca="1">TblProd[[#This Row],[Ore]]</f>
        <v>101990</v>
      </c>
    </row>
    <row r="123" spans="1:65" x14ac:dyDescent="0.2">
      <c r="A123" s="178">
        <v>48</v>
      </c>
      <c r="B123" s="198">
        <f ca="1">TblImps[[#This Row],[Time]]</f>
        <v>44409.708333333045</v>
      </c>
      <c r="C123" s="199"/>
      <c r="D123" s="200"/>
      <c r="E123" s="113">
        <f ca="1">TblConstr[[#This Row],[Land]]</f>
        <v>600</v>
      </c>
      <c r="F123" s="113">
        <f ca="1">TblPop[[#This Row],[Peasants]]</f>
        <v>4604</v>
      </c>
      <c r="G123" s="113">
        <f ca="1">TblMili[[#This Row],[Networth (2)]]</f>
        <v>29507.5</v>
      </c>
      <c r="H123" s="113">
        <f ca="1">OFFSET(TblProd[[#This Row],[Platinum]],-1,0)+OFFSET(TblProd[[#This Row],[Plat/hr]],-1,0) - TblProd[[#This Row],[Expenses Platinum]] + IF(TblProd[[#This Row],[Plat Bonus]],TblPop[[#This Row],[Peasants]]*4) + SUM(TblConstr[[#This Row],[Dest Hom]:[Dest Doc]])*TblConstr[[#This Row],[CPA Platinum -DB]]*tech_3_3_2*TblTech[[#This Row],[3-3]]</f>
        <v>1646154</v>
      </c>
      <c r="I123" s="113">
        <f ca="1">OFFSET(TblProd[[#This Row],[Food]],-1,0)+OFFSET(TblProd[[#This Row],[Food/hr]],-1,0)+ROUNDUP((TblConstr[[#This Row],[Farms]]*80+TblConstr[[#This Row],[Docks]]*35)*(1+OFFSET(TblProd[[#This Row],[Bonus Food/hr]],-1,0)),0)</f>
        <v>87169</v>
      </c>
      <c r="J123" s="113">
        <f ca="1">OFFSET(TblProd[[#This Row],[Lumber]],-1,0)+OFFSET(TblProd[[#This Row],[Lumber/hr]],-1,0) - TblProd[[#This Row],[Expenses Lumber]] + SUM(TblConstr[[#This Row],[Dest Hom]:[Dest Doc]])*TblConstr[[#This Row],[CPA Lumber -DB]]*tech_3_3_2*TblTech[[#This Row],[3-3]]</f>
        <v>59061</v>
      </c>
      <c r="K123" s="113">
        <f ca="1">OFFSET(TblProd[[#This Row],[Mana]],-1,0)+OFFSET(TblProd[[#This Row],[Mana/hr]],-1,0)- TblProd[[#This Row],[Expenses Mana]]</f>
        <v>12858.5</v>
      </c>
      <c r="L123" s="113">
        <f ca="1">OFFSET(TblProd[[#This Row],[Ore]],-1,0)+OFFSET(TblProd[[#This Row],[Ore/hr]],-1,0) -TblProd[[#This Row],[Expenses Ore]]</f>
        <v>103790</v>
      </c>
      <c r="M123" s="113">
        <f ca="1">OFFSET(TblProd[[#This Row],[Gems]],-1,0)+OFFSET(TblProd[[#This Row],[Gems/hr]],-1,0) - TblProd[[#This Row],[Expenses Gems]]</f>
        <v>0</v>
      </c>
      <c r="N123" s="113">
        <f ca="1">OFFSET(TblProd[[#This Row],[Boats]],-1,0)+OFFSET(TblProd[[#This Row],[Boats/hr]],-1,0)</f>
        <v>96</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2250</v>
      </c>
      <c r="Q123" s="113">
        <v>10000</v>
      </c>
      <c r="R123" s="184"/>
      <c r="S123" s="113">
        <f ca="1">ROUNDDOWN(TblProd[[#This Row],[Raw Plat/hr]]*(1+TblProd[[#This Row],[Bonus Plat/hr]]),0)</f>
        <v>24310</v>
      </c>
      <c r="T123" s="113">
        <f ca="1">ROUND(TblProd[[#This Row],[Raw Food/hr]]*(1+TblProd[[#This Row],[Bonus Food/hr]])-TblProd[[#This Row],[Food decay]]-TblProd[[#This Row],[Food eaten]],0)</f>
        <v>-30</v>
      </c>
      <c r="U123" s="113">
        <f ca="1">ROUND(TblProd[[#This Row],[Raw Lumber/hr]]*(1+TblProd[[#This Row],[Bonus Lumber/hr]])-TblProd[[#This Row],[Lumber rot]],0)</f>
        <v>409</v>
      </c>
      <c r="V123" s="113">
        <f ca="1">ROUND(TblProd[[#This Row],[Raw Mana/hr]]*(1+TblProd[[#This Row],[Bonus Mana/hr]])-TblProd[[#This Row],[Mana drain]],0)</f>
        <v>118</v>
      </c>
      <c r="W123" s="113">
        <f ca="1">ROUNDDOWN(TblProd[[#This Row],[Raw Ore/hr]]*(1+TblProd[[#This Row],[Bonux Ore/hr]]),0)</f>
        <v>1800</v>
      </c>
      <c r="X123" s="113">
        <f ca="1">ROUNDDOWN(TblProd[[#This Row],[Raw Gems/hr]]*(1+TblProd[[#This Row],[Bonus Gems/hr]]),0)</f>
        <v>0</v>
      </c>
      <c r="Y123" s="201">
        <f ca="1">OFFSET(TblConstr[[#This Row],[Tot Doc]],1,0)*dock_boats_hr * (1 + tech_4_1*TblTech[[#This Row],[4-1]])</f>
        <v>1</v>
      </c>
      <c r="Z123" s="200"/>
      <c r="AA123" s="113">
        <f ca="1">TblPop[[#This Row],[Peasants]]*tax*TblPop[[#This Row],[Employment]] + (Construction!AZ124+Construction!BX124)*(alch_plat+(Magic!AL123&gt;0)*alchemist_flame_bonus)</f>
        <v>24310.800000000003</v>
      </c>
      <c r="AB123" s="113">
        <f ca="1">TblConstr[[#This Row],[Tot Farm]]*farm_food + TblConstr[[#This Row],[Tot Doc]]*dock_food</f>
        <v>3100</v>
      </c>
      <c r="AC123" s="113">
        <f ca="1">TblConstr[[#This Row],[Tot Ly]]*ly_lumber + TblConstr[[#This Row],[Tot Hav]]*fh_lumber</f>
        <v>1000</v>
      </c>
      <c r="AD123" s="113">
        <f ca="1">OFFSET(TblConstr[[#This Row],[Tot Tow]],1,0)*(tower_mana + tech_4_5*TblTech[[#This Row],[4-5]])</f>
        <v>375</v>
      </c>
      <c r="AE123" s="113">
        <f ca="1">OFFSET(TblConstr[[#This Row],[Tot OM]],1,0)*om_ore+IF(race="Dwarf",ROUNDDOWN(TblMili[[#This Row],[Unit 2]]/2,0),)</f>
        <v>1800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871.69</v>
      </c>
      <c r="AP123" s="113">
        <f ca="1">(1+race_food_consumption)*TblPop[[#This Row],[Total]]*food_per_person*(1+tech_1_10*TblTech[[#This Row],[1-10]]+tech_7_5*TblTech[[#This Row],[7-5]])</f>
        <v>2490.75</v>
      </c>
      <c r="AQ123" s="113">
        <f ca="1">TblProd[[#This Row],[Lumber]]*lumber_rot * (1 + tech_2_1*TblTech[[#This Row],[2-1]] + tech_2_8*TblTech[[#This Row],[2-8]] + tech_5_2*TblTech[[#This Row],[5-2]])</f>
        <v>590.61</v>
      </c>
      <c r="AR123" s="113">
        <f ca="1">TblProd[[#This Row],[Mana]]*mana_drain * (1 + tech_2_1*TblTech[[#This Row],[2-1]] + tech_2_8*TblTech[[#This Row],[2-8]])</f>
        <v>257.17</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44409.708333333045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1646154</v>
      </c>
      <c r="BJ123" s="113">
        <f ca="1">TblProd[[#This Row],[Food]]</f>
        <v>87169</v>
      </c>
      <c r="BK123" s="113">
        <f ca="1">TblProd[[#This Row],[Lumber]]</f>
        <v>59061</v>
      </c>
      <c r="BL123" s="113">
        <f ca="1">TblProd[[#This Row],[Mana]]</f>
        <v>12858.5</v>
      </c>
      <c r="BM123" s="113">
        <f ca="1">TblProd[[#This Row],[Ore]]</f>
        <v>103790</v>
      </c>
    </row>
    <row r="124" spans="1:65" x14ac:dyDescent="0.2">
      <c r="A124" s="178">
        <v>49</v>
      </c>
      <c r="B124" s="198">
        <f ca="1">TblImps[[#This Row],[Time]]</f>
        <v>44409.749999999709</v>
      </c>
      <c r="C124" s="199"/>
      <c r="D124" s="200"/>
      <c r="E124" s="113">
        <f ca="1">TblConstr[[#This Row],[Land]]</f>
        <v>600</v>
      </c>
      <c r="F124" s="113">
        <f ca="1">TblPop[[#This Row],[Peasants]]</f>
        <v>4558</v>
      </c>
      <c r="G124" s="113">
        <f ca="1">TblMili[[#This Row],[Networth (2)]]</f>
        <v>29507.5</v>
      </c>
      <c r="H124" s="113">
        <f ca="1">OFFSET(TblProd[[#This Row],[Platinum]],-1,0)+OFFSET(TblProd[[#This Row],[Plat/hr]],-1,0) - TblProd[[#This Row],[Expenses Platinum]] + IF(TblProd[[#This Row],[Plat Bonus]],TblPop[[#This Row],[Peasants]]*4) + SUM(TblConstr[[#This Row],[Dest Hom]:[Dest Doc]])*TblConstr[[#This Row],[CPA Platinum -DB]]*tech_3_3_2*TblTech[[#This Row],[3-3]]</f>
        <v>1670464</v>
      </c>
      <c r="I124" s="113">
        <f ca="1">OFFSET(TblProd[[#This Row],[Food]],-1,0)+OFFSET(TblProd[[#This Row],[Food/hr]],-1,0)+ROUNDUP((TblConstr[[#This Row],[Farms]]*80+TblConstr[[#This Row],[Docks]]*35)*(1+OFFSET(TblProd[[#This Row],[Bonus Food/hr]],-1,0)),0)</f>
        <v>87139</v>
      </c>
      <c r="J124" s="113">
        <f ca="1">OFFSET(TblProd[[#This Row],[Lumber]],-1,0)+OFFSET(TblProd[[#This Row],[Lumber/hr]],-1,0) - TblProd[[#This Row],[Expenses Lumber]] + SUM(TblConstr[[#This Row],[Dest Hom]:[Dest Doc]])*TblConstr[[#This Row],[CPA Lumber -DB]]*tech_3_3_2*TblTech[[#This Row],[3-3]]</f>
        <v>59470</v>
      </c>
      <c r="K124" s="113">
        <f ca="1">OFFSET(TblProd[[#This Row],[Mana]],-1,0)+OFFSET(TblProd[[#This Row],[Mana/hr]],-1,0)- TblProd[[#This Row],[Expenses Mana]]</f>
        <v>12976.5</v>
      </c>
      <c r="L124" s="113">
        <f ca="1">OFFSET(TblProd[[#This Row],[Ore]],-1,0)+OFFSET(TblProd[[#This Row],[Ore/hr]],-1,0) -TblProd[[#This Row],[Expenses Ore]]</f>
        <v>105590</v>
      </c>
      <c r="M124" s="113">
        <f ca="1">OFFSET(TblProd[[#This Row],[Gems]],-1,0)+OFFSET(TblProd[[#This Row],[Gems/hr]],-1,0) - TblProd[[#This Row],[Expenses Gems]]</f>
        <v>0</v>
      </c>
      <c r="N124" s="113">
        <f ca="1">OFFSET(TblProd[[#This Row],[Boats]],-1,0)+OFFSET(TblProd[[#This Row],[Boats/hr]],-1,0)</f>
        <v>97</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2250</v>
      </c>
      <c r="Q124" s="113">
        <v>10000</v>
      </c>
      <c r="R124" s="184"/>
      <c r="S124" s="113">
        <f ca="1">ROUNDDOWN(TblProd[[#This Row],[Raw Plat/hr]]*(1+TblProd[[#This Row],[Bonus Plat/hr]]),0)</f>
        <v>24186</v>
      </c>
      <c r="T124" s="113">
        <f ca="1">ROUND(TblProd[[#This Row],[Raw Food/hr]]*(1+TblProd[[#This Row],[Bonus Food/hr]])-TblProd[[#This Row],[Food decay]]-TblProd[[#This Row],[Food eaten]],0)</f>
        <v>-30</v>
      </c>
      <c r="U124" s="113">
        <f ca="1">ROUND(TblProd[[#This Row],[Raw Lumber/hr]]*(1+TblProd[[#This Row],[Bonus Lumber/hr]])-TblProd[[#This Row],[Lumber rot]],0)</f>
        <v>405</v>
      </c>
      <c r="V124" s="113">
        <f ca="1">ROUND(TblProd[[#This Row],[Raw Mana/hr]]*(1+TblProd[[#This Row],[Bonus Mana/hr]])-TblProd[[#This Row],[Mana drain]],0)</f>
        <v>115</v>
      </c>
      <c r="W124" s="113">
        <f ca="1">ROUNDDOWN(TblProd[[#This Row],[Raw Ore/hr]]*(1+TblProd[[#This Row],[Bonux Ore/hr]]),0)</f>
        <v>1800</v>
      </c>
      <c r="X124" s="113">
        <f ca="1">ROUNDDOWN(TblProd[[#This Row],[Raw Gems/hr]]*(1+TblProd[[#This Row],[Bonus Gems/hr]]),0)</f>
        <v>0</v>
      </c>
      <c r="Y124" s="201">
        <f ca="1">OFFSET(TblConstr[[#This Row],[Tot Doc]],1,0)*dock_boats_hr * (1 + tech_4_1*TblTech[[#This Row],[4-1]])</f>
        <v>1</v>
      </c>
      <c r="Z124" s="200"/>
      <c r="AA124" s="113">
        <f ca="1">TblPop[[#This Row],[Peasants]]*tax*TblPop[[#This Row],[Employment]] + (Construction!AZ125+Construction!BX125)*(alch_plat+(Magic!AL124&gt;0)*alchemist_flame_bonus)</f>
        <v>24186.6</v>
      </c>
      <c r="AB124" s="113">
        <f ca="1">TblConstr[[#This Row],[Tot Farm]]*farm_food + TblConstr[[#This Row],[Tot Doc]]*dock_food</f>
        <v>3100</v>
      </c>
      <c r="AC124" s="113">
        <f ca="1">TblConstr[[#This Row],[Tot Ly]]*ly_lumber + TblConstr[[#This Row],[Tot Hav]]*fh_lumber</f>
        <v>1000</v>
      </c>
      <c r="AD124" s="113">
        <f ca="1">OFFSET(TblConstr[[#This Row],[Tot Tow]],1,0)*(tower_mana + tech_4_5*TblTech[[#This Row],[4-5]])</f>
        <v>375</v>
      </c>
      <c r="AE124" s="113">
        <f ca="1">OFFSET(TblConstr[[#This Row],[Tot OM]],1,0)*om_ore+IF(race="Dwarf",ROUNDDOWN(TblMili[[#This Row],[Unit 2]]/2,0),)</f>
        <v>1800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871.39</v>
      </c>
      <c r="AP124" s="113">
        <f ca="1">(1+race_food_consumption)*TblPop[[#This Row],[Total]]*food_per_person*(1+tech_1_10*TblTech[[#This Row],[1-10]]+tech_7_5*TblTech[[#This Row],[7-5]])</f>
        <v>2490.75</v>
      </c>
      <c r="AQ124" s="113">
        <f ca="1">TblProd[[#This Row],[Lumber]]*lumber_rot * (1 + tech_2_1*TblTech[[#This Row],[2-1]] + tech_2_8*TblTech[[#This Row],[2-8]] + tech_5_2*TblTech[[#This Row],[5-2]])</f>
        <v>594.70000000000005</v>
      </c>
      <c r="AR124" s="113">
        <f ca="1">TblProd[[#This Row],[Mana]]*mana_drain * (1 + tech_2_1*TblTech[[#This Row],[2-1]] + tech_2_8*TblTech[[#This Row],[2-8]])</f>
        <v>259.53000000000003</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44409.749999999709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1670464</v>
      </c>
      <c r="BJ124" s="113">
        <f ca="1">TblProd[[#This Row],[Food]]</f>
        <v>87139</v>
      </c>
      <c r="BK124" s="113">
        <f ca="1">TblProd[[#This Row],[Lumber]]</f>
        <v>59470</v>
      </c>
      <c r="BL124" s="113">
        <f ca="1">TblProd[[#This Row],[Mana]]</f>
        <v>12976.5</v>
      </c>
      <c r="BM124" s="113">
        <f ca="1">TblProd[[#This Row],[Ore]]</f>
        <v>105590</v>
      </c>
    </row>
    <row r="125" spans="1:65" x14ac:dyDescent="0.2">
      <c r="A125" s="178">
        <v>50</v>
      </c>
      <c r="B125" s="198">
        <f ca="1">TblImps[[#This Row],[Time]]</f>
        <v>44409.791666666373</v>
      </c>
      <c r="C125" s="199"/>
      <c r="D125" s="200"/>
      <c r="E125" s="113">
        <f ca="1">TblConstr[[#This Row],[Land]]</f>
        <v>600</v>
      </c>
      <c r="F125" s="113">
        <f ca="1">TblPop[[#This Row],[Peasants]]</f>
        <v>4512</v>
      </c>
      <c r="G125" s="113">
        <f ca="1">TblMili[[#This Row],[Networth (2)]]</f>
        <v>29507.5</v>
      </c>
      <c r="H125" s="113">
        <f ca="1">OFFSET(TblProd[[#This Row],[Platinum]],-1,0)+OFFSET(TblProd[[#This Row],[Plat/hr]],-1,0) - TblProd[[#This Row],[Expenses Platinum]] + IF(TblProd[[#This Row],[Plat Bonus]],TblPop[[#This Row],[Peasants]]*4) + SUM(TblConstr[[#This Row],[Dest Hom]:[Dest Doc]])*TblConstr[[#This Row],[CPA Platinum -DB]]*tech_3_3_2*TblTech[[#This Row],[3-3]]</f>
        <v>1694650</v>
      </c>
      <c r="I125" s="113">
        <f ca="1">OFFSET(TblProd[[#This Row],[Food]],-1,0)+OFFSET(TblProd[[#This Row],[Food/hr]],-1,0)+ROUNDUP((TblConstr[[#This Row],[Farms]]*80+TblConstr[[#This Row],[Docks]]*35)*(1+OFFSET(TblProd[[#This Row],[Bonus Food/hr]],-1,0)),0)</f>
        <v>87109</v>
      </c>
      <c r="J125" s="113">
        <f ca="1">OFFSET(TblProd[[#This Row],[Lumber]],-1,0)+OFFSET(TblProd[[#This Row],[Lumber/hr]],-1,0) - TblProd[[#This Row],[Expenses Lumber]] + SUM(TblConstr[[#This Row],[Dest Hom]:[Dest Doc]])*TblConstr[[#This Row],[CPA Lumber -DB]]*tech_3_3_2*TblTech[[#This Row],[3-3]]</f>
        <v>59875</v>
      </c>
      <c r="K125" s="113">
        <f ca="1">OFFSET(TblProd[[#This Row],[Mana]],-1,0)+OFFSET(TblProd[[#This Row],[Mana/hr]],-1,0)- TblProd[[#This Row],[Expenses Mana]]</f>
        <v>13091.5</v>
      </c>
      <c r="L125" s="113">
        <f ca="1">OFFSET(TblProd[[#This Row],[Ore]],-1,0)+OFFSET(TblProd[[#This Row],[Ore/hr]],-1,0) -TblProd[[#This Row],[Expenses Ore]]</f>
        <v>107390</v>
      </c>
      <c r="M125" s="113">
        <f ca="1">OFFSET(TblProd[[#This Row],[Gems]],-1,0)+OFFSET(TblProd[[#This Row],[Gems/hr]],-1,0) - TblProd[[#This Row],[Expenses Gems]]</f>
        <v>0</v>
      </c>
      <c r="N125" s="113">
        <f ca="1">OFFSET(TblProd[[#This Row],[Boats]],-1,0)+OFFSET(TblProd[[#This Row],[Boats/hr]],-1,0)</f>
        <v>98</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2250</v>
      </c>
      <c r="Q125" s="113">
        <v>10000</v>
      </c>
      <c r="R125" s="184"/>
      <c r="S125" s="113">
        <f ca="1">ROUNDDOWN(TblProd[[#This Row],[Raw Plat/hr]]*(1+TblProd[[#This Row],[Bonus Plat/hr]]),0)</f>
        <v>24062</v>
      </c>
      <c r="T125" s="113">
        <f ca="1">ROUND(TblProd[[#This Row],[Raw Food/hr]]*(1+TblProd[[#This Row],[Bonus Food/hr]])-TblProd[[#This Row],[Food decay]]-TblProd[[#This Row],[Food eaten]],0)</f>
        <v>-29</v>
      </c>
      <c r="U125" s="113">
        <f ca="1">ROUND(TblProd[[#This Row],[Raw Lumber/hr]]*(1+TblProd[[#This Row],[Bonus Lumber/hr]])-TblProd[[#This Row],[Lumber rot]],0)</f>
        <v>401</v>
      </c>
      <c r="V125" s="113">
        <f ca="1">ROUND(TblProd[[#This Row],[Raw Mana/hr]]*(1+TblProd[[#This Row],[Bonus Mana/hr]])-TblProd[[#This Row],[Mana drain]],0)</f>
        <v>113</v>
      </c>
      <c r="W125" s="113">
        <f ca="1">ROUNDDOWN(TblProd[[#This Row],[Raw Ore/hr]]*(1+TblProd[[#This Row],[Bonux Ore/hr]]),0)</f>
        <v>1800</v>
      </c>
      <c r="X125" s="113">
        <f ca="1">ROUNDDOWN(TblProd[[#This Row],[Raw Gems/hr]]*(1+TblProd[[#This Row],[Bonus Gems/hr]]),0)</f>
        <v>0</v>
      </c>
      <c r="Y125" s="201">
        <f ca="1">OFFSET(TblConstr[[#This Row],[Tot Doc]],1,0)*dock_boats_hr * (1 + tech_4_1*TblTech[[#This Row],[4-1]])</f>
        <v>1</v>
      </c>
      <c r="Z125" s="200"/>
      <c r="AA125" s="113">
        <f ca="1">TblPop[[#This Row],[Peasants]]*tax*TblPop[[#This Row],[Employment]] + (Construction!AZ126+Construction!BX126)*(alch_plat+(Magic!AL125&gt;0)*alchemist_flame_bonus)</f>
        <v>24062.400000000001</v>
      </c>
      <c r="AB125" s="113">
        <f ca="1">TblConstr[[#This Row],[Tot Farm]]*farm_food + TblConstr[[#This Row],[Tot Doc]]*dock_food</f>
        <v>3100</v>
      </c>
      <c r="AC125" s="113">
        <f ca="1">TblConstr[[#This Row],[Tot Ly]]*ly_lumber + TblConstr[[#This Row],[Tot Hav]]*fh_lumber</f>
        <v>1000</v>
      </c>
      <c r="AD125" s="113">
        <f ca="1">OFFSET(TblConstr[[#This Row],[Tot Tow]],1,0)*(tower_mana + tech_4_5*TblTech[[#This Row],[4-5]])</f>
        <v>375</v>
      </c>
      <c r="AE125" s="113">
        <f ca="1">OFFSET(TblConstr[[#This Row],[Tot OM]],1,0)*om_ore+IF(race="Dwarf",ROUNDDOWN(TblMili[[#This Row],[Unit 2]]/2,0),)</f>
        <v>1800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871.09</v>
      </c>
      <c r="AP125" s="113">
        <f ca="1">(1+race_food_consumption)*TblPop[[#This Row],[Total]]*food_per_person*(1+tech_1_10*TblTech[[#This Row],[1-10]]+tech_7_5*TblTech[[#This Row],[7-5]])</f>
        <v>2490.75</v>
      </c>
      <c r="AQ125" s="113">
        <f ca="1">TblProd[[#This Row],[Lumber]]*lumber_rot * (1 + tech_2_1*TblTech[[#This Row],[2-1]] + tech_2_8*TblTech[[#This Row],[2-8]] + tech_5_2*TblTech[[#This Row],[5-2]])</f>
        <v>598.75</v>
      </c>
      <c r="AR125" s="113">
        <f ca="1">TblProd[[#This Row],[Mana]]*mana_drain * (1 + tech_2_1*TblTech[[#This Row],[2-1]] + tech_2_8*TblTech[[#This Row],[2-8]])</f>
        <v>261.83</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44409.791666666373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1694650</v>
      </c>
      <c r="BJ125" s="113">
        <f ca="1">TblProd[[#This Row],[Food]]</f>
        <v>87109</v>
      </c>
      <c r="BK125" s="113">
        <f ca="1">TblProd[[#This Row],[Lumber]]</f>
        <v>59875</v>
      </c>
      <c r="BL125" s="113">
        <f ca="1">TblProd[[#This Row],[Mana]]</f>
        <v>13091.5</v>
      </c>
      <c r="BM125" s="113">
        <f ca="1">TblProd[[#This Row],[Ore]]</f>
        <v>107390</v>
      </c>
    </row>
    <row r="126" spans="1:65" x14ac:dyDescent="0.2">
      <c r="A126" s="178">
        <v>51</v>
      </c>
      <c r="B126" s="198">
        <f ca="1">TblImps[[#This Row],[Time]]</f>
        <v>44409.833333333037</v>
      </c>
      <c r="C126" s="199"/>
      <c r="D126" s="200"/>
      <c r="E126" s="113">
        <f ca="1">TblConstr[[#This Row],[Land]]</f>
        <v>600</v>
      </c>
      <c r="F126" s="113">
        <f ca="1">TblPop[[#This Row],[Peasants]]</f>
        <v>4467</v>
      </c>
      <c r="G126" s="113">
        <f ca="1">TblMili[[#This Row],[Networth (2)]]</f>
        <v>29507.5</v>
      </c>
      <c r="H126" s="113">
        <f ca="1">OFFSET(TblProd[[#This Row],[Platinum]],-1,0)+OFFSET(TblProd[[#This Row],[Plat/hr]],-1,0) - TblProd[[#This Row],[Expenses Platinum]] + IF(TblProd[[#This Row],[Plat Bonus]],TblPop[[#This Row],[Peasants]]*4) + SUM(TblConstr[[#This Row],[Dest Hom]:[Dest Doc]])*TblConstr[[#This Row],[CPA Platinum -DB]]*tech_3_3_2*TblTech[[#This Row],[3-3]]</f>
        <v>1718712</v>
      </c>
      <c r="I126" s="113">
        <f ca="1">OFFSET(TblProd[[#This Row],[Food]],-1,0)+OFFSET(TblProd[[#This Row],[Food/hr]],-1,0)+ROUNDUP((TblConstr[[#This Row],[Farms]]*80+TblConstr[[#This Row],[Docks]]*35)*(1+OFFSET(TblProd[[#This Row],[Bonus Food/hr]],-1,0)),0)</f>
        <v>87080</v>
      </c>
      <c r="J126" s="113">
        <f ca="1">OFFSET(TblProd[[#This Row],[Lumber]],-1,0)+OFFSET(TblProd[[#This Row],[Lumber/hr]],-1,0) - TblProd[[#This Row],[Expenses Lumber]] + SUM(TblConstr[[#This Row],[Dest Hom]:[Dest Doc]])*TblConstr[[#This Row],[CPA Lumber -DB]]*tech_3_3_2*TblTech[[#This Row],[3-3]]</f>
        <v>60276</v>
      </c>
      <c r="K126" s="113">
        <f ca="1">OFFSET(TblProd[[#This Row],[Mana]],-1,0)+OFFSET(TblProd[[#This Row],[Mana/hr]],-1,0)- TblProd[[#This Row],[Expenses Mana]]</f>
        <v>13204.5</v>
      </c>
      <c r="L126" s="113">
        <f ca="1">OFFSET(TblProd[[#This Row],[Ore]],-1,0)+OFFSET(TblProd[[#This Row],[Ore/hr]],-1,0) -TblProd[[#This Row],[Expenses Ore]]</f>
        <v>109190</v>
      </c>
      <c r="M126" s="113">
        <f ca="1">OFFSET(TblProd[[#This Row],[Gems]],-1,0)+OFFSET(TblProd[[#This Row],[Gems/hr]],-1,0) - TblProd[[#This Row],[Expenses Gems]]</f>
        <v>0</v>
      </c>
      <c r="N126" s="113">
        <f ca="1">OFFSET(TblProd[[#This Row],[Boats]],-1,0)+OFFSET(TblProd[[#This Row],[Boats/hr]],-1,0)</f>
        <v>99</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2250</v>
      </c>
      <c r="Q126" s="113">
        <v>10000</v>
      </c>
      <c r="R126" s="184"/>
      <c r="S126" s="113">
        <f ca="1">ROUNDDOWN(TblProd[[#This Row],[Raw Plat/hr]]*(1+TblProd[[#This Row],[Bonus Plat/hr]]),0)</f>
        <v>23940</v>
      </c>
      <c r="T126" s="113">
        <f ca="1">ROUND(TblProd[[#This Row],[Raw Food/hr]]*(1+TblProd[[#This Row],[Bonus Food/hr]])-TblProd[[#This Row],[Food decay]]-TblProd[[#This Row],[Food eaten]],0)</f>
        <v>-29</v>
      </c>
      <c r="U126" s="113">
        <f ca="1">ROUND(TblProd[[#This Row],[Raw Lumber/hr]]*(1+TblProd[[#This Row],[Bonus Lumber/hr]])-TblProd[[#This Row],[Lumber rot]],0)</f>
        <v>397</v>
      </c>
      <c r="V126" s="113">
        <f ca="1">ROUND(TblProd[[#This Row],[Raw Mana/hr]]*(1+TblProd[[#This Row],[Bonus Mana/hr]])-TblProd[[#This Row],[Mana drain]],0)</f>
        <v>111</v>
      </c>
      <c r="W126" s="113">
        <f ca="1">ROUNDDOWN(TblProd[[#This Row],[Raw Ore/hr]]*(1+TblProd[[#This Row],[Bonux Ore/hr]]),0)</f>
        <v>1800</v>
      </c>
      <c r="X126" s="113">
        <f ca="1">ROUNDDOWN(TblProd[[#This Row],[Raw Gems/hr]]*(1+TblProd[[#This Row],[Bonus Gems/hr]]),0)</f>
        <v>0</v>
      </c>
      <c r="Y126" s="201">
        <f ca="1">OFFSET(TblConstr[[#This Row],[Tot Doc]],1,0)*dock_boats_hr * (1 + tech_4_1*TblTech[[#This Row],[4-1]])</f>
        <v>1</v>
      </c>
      <c r="Z126" s="200"/>
      <c r="AA126" s="113">
        <f ca="1">TblPop[[#This Row],[Peasants]]*tax*TblPop[[#This Row],[Employment]] + (Construction!AZ127+Construction!BX127)*(alch_plat+(Magic!AL126&gt;0)*alchemist_flame_bonus)</f>
        <v>23940.9</v>
      </c>
      <c r="AB126" s="113">
        <f ca="1">TblConstr[[#This Row],[Tot Farm]]*farm_food + TblConstr[[#This Row],[Tot Doc]]*dock_food</f>
        <v>3100</v>
      </c>
      <c r="AC126" s="113">
        <f ca="1">TblConstr[[#This Row],[Tot Ly]]*ly_lumber + TblConstr[[#This Row],[Tot Hav]]*fh_lumber</f>
        <v>1000</v>
      </c>
      <c r="AD126" s="113">
        <f ca="1">OFFSET(TblConstr[[#This Row],[Tot Tow]],1,0)*(tower_mana + tech_4_5*TblTech[[#This Row],[4-5]])</f>
        <v>375</v>
      </c>
      <c r="AE126" s="113">
        <f ca="1">OFFSET(TblConstr[[#This Row],[Tot OM]],1,0)*om_ore+IF(race="Dwarf",ROUNDDOWN(TblMili[[#This Row],[Unit 2]]/2,0),)</f>
        <v>1800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870.80000000000007</v>
      </c>
      <c r="AP126" s="113">
        <f ca="1">(1+race_food_consumption)*TblPop[[#This Row],[Total]]*food_per_person*(1+tech_1_10*TblTech[[#This Row],[1-10]]+tech_7_5*TblTech[[#This Row],[7-5]])</f>
        <v>2490.75</v>
      </c>
      <c r="AQ126" s="113">
        <f ca="1">TblProd[[#This Row],[Lumber]]*lumber_rot * (1 + tech_2_1*TblTech[[#This Row],[2-1]] + tech_2_8*TblTech[[#This Row],[2-8]] + tech_5_2*TblTech[[#This Row],[5-2]])</f>
        <v>602.76</v>
      </c>
      <c r="AR126" s="113">
        <f ca="1">TblProd[[#This Row],[Mana]]*mana_drain * (1 + tech_2_1*TblTech[[#This Row],[2-1]] + tech_2_8*TblTech[[#This Row],[2-8]])</f>
        <v>264.09000000000003</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44409.833333333037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1718712</v>
      </c>
      <c r="BJ126" s="113">
        <f ca="1">TblProd[[#This Row],[Food]]</f>
        <v>87080</v>
      </c>
      <c r="BK126" s="113">
        <f ca="1">TblProd[[#This Row],[Lumber]]</f>
        <v>60276</v>
      </c>
      <c r="BL126" s="113">
        <f ca="1">TblProd[[#This Row],[Mana]]</f>
        <v>13204.5</v>
      </c>
      <c r="BM126" s="113">
        <f ca="1">TblProd[[#This Row],[Ore]]</f>
        <v>109190</v>
      </c>
    </row>
    <row r="127" spans="1:65" x14ac:dyDescent="0.2">
      <c r="A127" s="178">
        <v>52</v>
      </c>
      <c r="B127" s="198">
        <f ca="1">TblImps[[#This Row],[Time]]</f>
        <v>44409.874999999702</v>
      </c>
      <c r="C127" s="199"/>
      <c r="D127" s="200"/>
      <c r="E127" s="113">
        <f ca="1">TblConstr[[#This Row],[Land]]</f>
        <v>600</v>
      </c>
      <c r="F127" s="113">
        <f ca="1">TblPop[[#This Row],[Peasants]]</f>
        <v>4422</v>
      </c>
      <c r="G127" s="113">
        <f ca="1">TblMili[[#This Row],[Networth (2)]]</f>
        <v>29507.5</v>
      </c>
      <c r="H127" s="113">
        <f ca="1">OFFSET(TblProd[[#This Row],[Platinum]],-1,0)+OFFSET(TblProd[[#This Row],[Plat/hr]],-1,0) - TblProd[[#This Row],[Expenses Platinum]] + IF(TblProd[[#This Row],[Plat Bonus]],TblPop[[#This Row],[Peasants]]*4) + SUM(TblConstr[[#This Row],[Dest Hom]:[Dest Doc]])*TblConstr[[#This Row],[CPA Platinum -DB]]*tech_3_3_2*TblTech[[#This Row],[3-3]]</f>
        <v>1742652</v>
      </c>
      <c r="I127" s="113">
        <f ca="1">OFFSET(TblProd[[#This Row],[Food]],-1,0)+OFFSET(TblProd[[#This Row],[Food/hr]],-1,0)+ROUNDUP((TblConstr[[#This Row],[Farms]]*80+TblConstr[[#This Row],[Docks]]*35)*(1+OFFSET(TblProd[[#This Row],[Bonus Food/hr]],-1,0)),0)</f>
        <v>87051</v>
      </c>
      <c r="J127" s="113">
        <f ca="1">OFFSET(TblProd[[#This Row],[Lumber]],-1,0)+OFFSET(TblProd[[#This Row],[Lumber/hr]],-1,0) - TblProd[[#This Row],[Expenses Lumber]] + SUM(TblConstr[[#This Row],[Dest Hom]:[Dest Doc]])*TblConstr[[#This Row],[CPA Lumber -DB]]*tech_3_3_2*TblTech[[#This Row],[3-3]]</f>
        <v>60673</v>
      </c>
      <c r="K127" s="113">
        <f ca="1">OFFSET(TblProd[[#This Row],[Mana]],-1,0)+OFFSET(TblProd[[#This Row],[Mana/hr]],-1,0)- TblProd[[#This Row],[Expenses Mana]]</f>
        <v>13315.5</v>
      </c>
      <c r="L127" s="113">
        <f ca="1">OFFSET(TblProd[[#This Row],[Ore]],-1,0)+OFFSET(TblProd[[#This Row],[Ore/hr]],-1,0) -TblProd[[#This Row],[Expenses Ore]]</f>
        <v>110990</v>
      </c>
      <c r="M127" s="113">
        <f ca="1">OFFSET(TblProd[[#This Row],[Gems]],-1,0)+OFFSET(TblProd[[#This Row],[Gems/hr]],-1,0) - TblProd[[#This Row],[Expenses Gems]]</f>
        <v>0</v>
      </c>
      <c r="N127" s="113">
        <f ca="1">OFFSET(TblProd[[#This Row],[Boats]],-1,0)+OFFSET(TblProd[[#This Row],[Boats/hr]],-1,0)</f>
        <v>100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2250</v>
      </c>
      <c r="Q127" s="113">
        <v>10000</v>
      </c>
      <c r="R127" s="184"/>
      <c r="S127" s="113">
        <f ca="1">ROUNDDOWN(TblProd[[#This Row],[Raw Plat/hr]]*(1+TblProd[[#This Row],[Bonus Plat/hr]]),0)</f>
        <v>23819</v>
      </c>
      <c r="T127" s="113">
        <f ca="1">ROUND(TblProd[[#This Row],[Raw Food/hr]]*(1+TblProd[[#This Row],[Bonus Food/hr]])-TblProd[[#This Row],[Food decay]]-TblProd[[#This Row],[Food eaten]],0)</f>
        <v>-29</v>
      </c>
      <c r="U127" s="113">
        <f ca="1">ROUND(TblProd[[#This Row],[Raw Lumber/hr]]*(1+TblProd[[#This Row],[Bonus Lumber/hr]])-TblProd[[#This Row],[Lumber rot]],0)</f>
        <v>393</v>
      </c>
      <c r="V127" s="113">
        <f ca="1">ROUND(TblProd[[#This Row],[Raw Mana/hr]]*(1+TblProd[[#This Row],[Bonus Mana/hr]])-TblProd[[#This Row],[Mana drain]],0)</f>
        <v>109</v>
      </c>
      <c r="W127" s="113">
        <f ca="1">ROUNDDOWN(TblProd[[#This Row],[Raw Ore/hr]]*(1+TblProd[[#This Row],[Bonux Ore/hr]]),0)</f>
        <v>1800</v>
      </c>
      <c r="X127" s="113">
        <f ca="1">ROUNDDOWN(TblProd[[#This Row],[Raw Gems/hr]]*(1+TblProd[[#This Row],[Bonus Gems/hr]]),0)</f>
        <v>0</v>
      </c>
      <c r="Y127" s="201">
        <f ca="1">OFFSET(TblConstr[[#This Row],[Tot Doc]],1,0)*dock_boats_hr * (1 + tech_4_1*TblTech[[#This Row],[4-1]])</f>
        <v>1</v>
      </c>
      <c r="Z127" s="200"/>
      <c r="AA127" s="113">
        <f ca="1">TblPop[[#This Row],[Peasants]]*tax*TblPop[[#This Row],[Employment]] + (Construction!AZ128+Construction!BX128)*(alch_plat+(Magic!AL127&gt;0)*alchemist_flame_bonus)</f>
        <v>23819.4</v>
      </c>
      <c r="AB127" s="113">
        <f ca="1">TblConstr[[#This Row],[Tot Farm]]*farm_food + TblConstr[[#This Row],[Tot Doc]]*dock_food</f>
        <v>3100</v>
      </c>
      <c r="AC127" s="113">
        <f ca="1">TblConstr[[#This Row],[Tot Ly]]*ly_lumber + TblConstr[[#This Row],[Tot Hav]]*fh_lumber</f>
        <v>1000</v>
      </c>
      <c r="AD127" s="113">
        <f ca="1">OFFSET(TblConstr[[#This Row],[Tot Tow]],1,0)*(tower_mana + tech_4_5*TblTech[[#This Row],[4-5]])</f>
        <v>375</v>
      </c>
      <c r="AE127" s="113">
        <f ca="1">OFFSET(TblConstr[[#This Row],[Tot OM]],1,0)*om_ore+IF(race="Dwarf",ROUNDDOWN(TblMili[[#This Row],[Unit 2]]/2,0),)</f>
        <v>1800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870.51</v>
      </c>
      <c r="AP127" s="113">
        <f ca="1">(1+race_food_consumption)*TblPop[[#This Row],[Total]]*food_per_person*(1+tech_1_10*TblTech[[#This Row],[1-10]]+tech_7_5*TblTech[[#This Row],[7-5]])</f>
        <v>2490.75</v>
      </c>
      <c r="AQ127" s="113">
        <f ca="1">TblProd[[#This Row],[Lumber]]*lumber_rot * (1 + tech_2_1*TblTech[[#This Row],[2-1]] + tech_2_8*TblTech[[#This Row],[2-8]] + tech_5_2*TblTech[[#This Row],[5-2]])</f>
        <v>606.73</v>
      </c>
      <c r="AR127" s="113">
        <f ca="1">TblProd[[#This Row],[Mana]]*mana_drain * (1 + tech_2_1*TblTech[[#This Row],[2-1]] + tech_2_8*TblTech[[#This Row],[2-8]])</f>
        <v>266.31</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44409.874999999702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1742652</v>
      </c>
      <c r="BJ127" s="113">
        <f ca="1">TblProd[[#This Row],[Food]]</f>
        <v>87051</v>
      </c>
      <c r="BK127" s="113">
        <f ca="1">TblProd[[#This Row],[Lumber]]</f>
        <v>60673</v>
      </c>
      <c r="BL127" s="113">
        <f ca="1">TblProd[[#This Row],[Mana]]</f>
        <v>13315.5</v>
      </c>
      <c r="BM127" s="113">
        <f ca="1">TblProd[[#This Row],[Ore]]</f>
        <v>110990</v>
      </c>
    </row>
    <row r="128" spans="1:65" x14ac:dyDescent="0.2">
      <c r="A128" s="178">
        <v>53</v>
      </c>
      <c r="B128" s="198">
        <f ca="1">TblImps[[#This Row],[Time]]</f>
        <v>44409.916666666366</v>
      </c>
      <c r="C128" s="199"/>
      <c r="D128" s="200"/>
      <c r="E128" s="113">
        <f ca="1">TblConstr[[#This Row],[Land]]</f>
        <v>600</v>
      </c>
      <c r="F128" s="113">
        <f ca="1">TblPop[[#This Row],[Peasants]]</f>
        <v>4378</v>
      </c>
      <c r="G128" s="113">
        <f ca="1">TblMili[[#This Row],[Networth (2)]]</f>
        <v>29507.5</v>
      </c>
      <c r="H128" s="113">
        <f ca="1">OFFSET(TblProd[[#This Row],[Platinum]],-1,0)+OFFSET(TblProd[[#This Row],[Plat/hr]],-1,0) - TblProd[[#This Row],[Expenses Platinum]] + IF(TblProd[[#This Row],[Plat Bonus]],TblPop[[#This Row],[Peasants]]*4) + SUM(TblConstr[[#This Row],[Dest Hom]:[Dest Doc]])*TblConstr[[#This Row],[CPA Platinum -DB]]*tech_3_3_2*TblTech[[#This Row],[3-3]]</f>
        <v>1766471</v>
      </c>
      <c r="I128" s="113">
        <f ca="1">OFFSET(TblProd[[#This Row],[Food]],-1,0)+OFFSET(TblProd[[#This Row],[Food/hr]],-1,0)+ROUNDUP((TblConstr[[#This Row],[Farms]]*80+TblConstr[[#This Row],[Docks]]*35)*(1+OFFSET(TblProd[[#This Row],[Bonus Food/hr]],-1,0)),0)</f>
        <v>87022</v>
      </c>
      <c r="J128" s="113">
        <f ca="1">OFFSET(TblProd[[#This Row],[Lumber]],-1,0)+OFFSET(TblProd[[#This Row],[Lumber/hr]],-1,0) - TblProd[[#This Row],[Expenses Lumber]] + SUM(TblConstr[[#This Row],[Dest Hom]:[Dest Doc]])*TblConstr[[#This Row],[CPA Lumber -DB]]*tech_3_3_2*TblTech[[#This Row],[3-3]]</f>
        <v>61066</v>
      </c>
      <c r="K128" s="113">
        <f ca="1">OFFSET(TblProd[[#This Row],[Mana]],-1,0)+OFFSET(TblProd[[#This Row],[Mana/hr]],-1,0)- TblProd[[#This Row],[Expenses Mana]]</f>
        <v>13424.5</v>
      </c>
      <c r="L128" s="113">
        <f ca="1">OFFSET(TblProd[[#This Row],[Ore]],-1,0)+OFFSET(TblProd[[#This Row],[Ore/hr]],-1,0) -TblProd[[#This Row],[Expenses Ore]]</f>
        <v>112790</v>
      </c>
      <c r="M128" s="113">
        <f ca="1">OFFSET(TblProd[[#This Row],[Gems]],-1,0)+OFFSET(TblProd[[#This Row],[Gems/hr]],-1,0) - TblProd[[#This Row],[Expenses Gems]]</f>
        <v>0</v>
      </c>
      <c r="N128" s="113">
        <f ca="1">OFFSET(TblProd[[#This Row],[Boats]],-1,0)+OFFSET(TblProd[[#This Row],[Boats/hr]],-1,0)</f>
        <v>101</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2250</v>
      </c>
      <c r="Q128" s="113">
        <v>10000</v>
      </c>
      <c r="R128" s="184"/>
      <c r="S128" s="113">
        <f ca="1">ROUNDDOWN(TblProd[[#This Row],[Raw Plat/hr]]*(1+TblProd[[#This Row],[Bonus Plat/hr]]),0)</f>
        <v>23700</v>
      </c>
      <c r="T128" s="113">
        <f ca="1">ROUND(TblProd[[#This Row],[Raw Food/hr]]*(1+TblProd[[#This Row],[Bonus Food/hr]])-TblProd[[#This Row],[Food decay]]-TblProd[[#This Row],[Food eaten]],0)</f>
        <v>-28</v>
      </c>
      <c r="U128" s="113">
        <f ca="1">ROUND(TblProd[[#This Row],[Raw Lumber/hr]]*(1+TblProd[[#This Row],[Bonus Lumber/hr]])-TblProd[[#This Row],[Lumber rot]],0)</f>
        <v>389</v>
      </c>
      <c r="V128" s="113">
        <f ca="1">ROUND(TblProd[[#This Row],[Raw Mana/hr]]*(1+TblProd[[#This Row],[Bonus Mana/hr]])-TblProd[[#This Row],[Mana drain]],0)</f>
        <v>107</v>
      </c>
      <c r="W128" s="113">
        <f ca="1">ROUNDDOWN(TblProd[[#This Row],[Raw Ore/hr]]*(1+TblProd[[#This Row],[Bonux Ore/hr]]),0)</f>
        <v>1800</v>
      </c>
      <c r="X128" s="113">
        <f ca="1">ROUNDDOWN(TblProd[[#This Row],[Raw Gems/hr]]*(1+TblProd[[#This Row],[Bonus Gems/hr]]),0)</f>
        <v>0</v>
      </c>
      <c r="Y128" s="201">
        <f ca="1">OFFSET(TblConstr[[#This Row],[Tot Doc]],1,0)*dock_boats_hr * (1 + tech_4_1*TblTech[[#This Row],[4-1]])</f>
        <v>1</v>
      </c>
      <c r="Z128" s="200"/>
      <c r="AA128" s="113">
        <f ca="1">TblPop[[#This Row],[Peasants]]*tax*TblPop[[#This Row],[Employment]] + (Construction!AZ129+Construction!BX129)*(alch_plat+(Magic!AL128&gt;0)*alchemist_flame_bonus)</f>
        <v>23700.6</v>
      </c>
      <c r="AB128" s="113">
        <f ca="1">TblConstr[[#This Row],[Tot Farm]]*farm_food + TblConstr[[#This Row],[Tot Doc]]*dock_food</f>
        <v>3100</v>
      </c>
      <c r="AC128" s="113">
        <f ca="1">TblConstr[[#This Row],[Tot Ly]]*ly_lumber + TblConstr[[#This Row],[Tot Hav]]*fh_lumber</f>
        <v>1000</v>
      </c>
      <c r="AD128" s="113">
        <f ca="1">OFFSET(TblConstr[[#This Row],[Tot Tow]],1,0)*(tower_mana + tech_4_5*TblTech[[#This Row],[4-5]])</f>
        <v>375</v>
      </c>
      <c r="AE128" s="113">
        <f ca="1">OFFSET(TblConstr[[#This Row],[Tot OM]],1,0)*om_ore+IF(race="Dwarf",ROUNDDOWN(TblMili[[#This Row],[Unit 2]]/2,0),)</f>
        <v>1800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870.22</v>
      </c>
      <c r="AP128" s="113">
        <f ca="1">(1+race_food_consumption)*TblPop[[#This Row],[Total]]*food_per_person*(1+tech_1_10*TblTech[[#This Row],[1-10]]+tech_7_5*TblTech[[#This Row],[7-5]])</f>
        <v>2490.75</v>
      </c>
      <c r="AQ128" s="113">
        <f ca="1">TblProd[[#This Row],[Lumber]]*lumber_rot * (1 + tech_2_1*TblTech[[#This Row],[2-1]] + tech_2_8*TblTech[[#This Row],[2-8]] + tech_5_2*TblTech[[#This Row],[5-2]])</f>
        <v>610.66</v>
      </c>
      <c r="AR128" s="113">
        <f ca="1">TblProd[[#This Row],[Mana]]*mana_drain * (1 + tech_2_1*TblTech[[#This Row],[2-1]] + tech_2_8*TblTech[[#This Row],[2-8]])</f>
        <v>268.49</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44409.916666666366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1766471</v>
      </c>
      <c r="BJ128" s="113">
        <f ca="1">TblProd[[#This Row],[Food]]</f>
        <v>87022</v>
      </c>
      <c r="BK128" s="113">
        <f ca="1">TblProd[[#This Row],[Lumber]]</f>
        <v>61066</v>
      </c>
      <c r="BL128" s="113">
        <f ca="1">TblProd[[#This Row],[Mana]]</f>
        <v>13424.5</v>
      </c>
      <c r="BM128" s="113">
        <f ca="1">TblProd[[#This Row],[Ore]]</f>
        <v>112790</v>
      </c>
    </row>
    <row r="129" spans="1:65" x14ac:dyDescent="0.2">
      <c r="A129" s="178">
        <v>54</v>
      </c>
      <c r="B129" s="198">
        <f ca="1">TblImps[[#This Row],[Time]]</f>
        <v>44409.95833333303</v>
      </c>
      <c r="C129" s="199"/>
      <c r="D129" s="200"/>
      <c r="E129" s="113">
        <f ca="1">TblConstr[[#This Row],[Land]]</f>
        <v>600</v>
      </c>
      <c r="F129" s="113">
        <f ca="1">TblPop[[#This Row],[Peasants]]</f>
        <v>4334</v>
      </c>
      <c r="G129" s="113">
        <f ca="1">TblMili[[#This Row],[Networth (2)]]</f>
        <v>29507.5</v>
      </c>
      <c r="H129" s="113">
        <f ca="1">OFFSET(TblProd[[#This Row],[Platinum]],-1,0)+OFFSET(TblProd[[#This Row],[Plat/hr]],-1,0) - TblProd[[#This Row],[Expenses Platinum]] + IF(TblProd[[#This Row],[Plat Bonus]],TblPop[[#This Row],[Peasants]]*4) + SUM(TblConstr[[#This Row],[Dest Hom]:[Dest Doc]])*TblConstr[[#This Row],[CPA Platinum -DB]]*tech_3_3_2*TblTech[[#This Row],[3-3]]</f>
        <v>1790171</v>
      </c>
      <c r="I129" s="113">
        <f ca="1">OFFSET(TblProd[[#This Row],[Food]],-1,0)+OFFSET(TblProd[[#This Row],[Food/hr]],-1,0)+ROUNDUP((TblConstr[[#This Row],[Farms]]*80+TblConstr[[#This Row],[Docks]]*35)*(1+OFFSET(TblProd[[#This Row],[Bonus Food/hr]],-1,0)),0)</f>
        <v>86994</v>
      </c>
      <c r="J129" s="113">
        <f ca="1">OFFSET(TblProd[[#This Row],[Lumber]],-1,0)+OFFSET(TblProd[[#This Row],[Lumber/hr]],-1,0) - TblProd[[#This Row],[Expenses Lumber]] + SUM(TblConstr[[#This Row],[Dest Hom]:[Dest Doc]])*TblConstr[[#This Row],[CPA Lumber -DB]]*tech_3_3_2*TblTech[[#This Row],[3-3]]</f>
        <v>61455</v>
      </c>
      <c r="K129" s="113">
        <f ca="1">OFFSET(TblProd[[#This Row],[Mana]],-1,0)+OFFSET(TblProd[[#This Row],[Mana/hr]],-1,0)- TblProd[[#This Row],[Expenses Mana]]</f>
        <v>13531.5</v>
      </c>
      <c r="L129" s="113">
        <f ca="1">OFFSET(TblProd[[#This Row],[Ore]],-1,0)+OFFSET(TblProd[[#This Row],[Ore/hr]],-1,0) -TblProd[[#This Row],[Expenses Ore]]</f>
        <v>114590</v>
      </c>
      <c r="M129" s="113">
        <f ca="1">OFFSET(TblProd[[#This Row],[Gems]],-1,0)+OFFSET(TblProd[[#This Row],[Gems/hr]],-1,0) - TblProd[[#This Row],[Expenses Gems]]</f>
        <v>0</v>
      </c>
      <c r="N129" s="113">
        <f ca="1">OFFSET(TblProd[[#This Row],[Boats]],-1,0)+OFFSET(TblProd[[#This Row],[Boats/hr]],-1,0)</f>
        <v>102</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2250</v>
      </c>
      <c r="Q129" s="113">
        <v>10000</v>
      </c>
      <c r="R129" s="184"/>
      <c r="S129" s="113">
        <f ca="1">ROUNDDOWN(TblProd[[#This Row],[Raw Plat/hr]]*(1+TblProd[[#This Row],[Bonus Plat/hr]]),0)</f>
        <v>23581</v>
      </c>
      <c r="T129" s="113">
        <f ca="1">ROUND(TblProd[[#This Row],[Raw Food/hr]]*(1+TblProd[[#This Row],[Bonus Food/hr]])-TblProd[[#This Row],[Food decay]]-TblProd[[#This Row],[Food eaten]],0)</f>
        <v>-28</v>
      </c>
      <c r="U129" s="113">
        <f ca="1">ROUND(TblProd[[#This Row],[Raw Lumber/hr]]*(1+TblProd[[#This Row],[Bonus Lumber/hr]])-TblProd[[#This Row],[Lumber rot]],0)</f>
        <v>385</v>
      </c>
      <c r="V129" s="113">
        <f ca="1">ROUND(TblProd[[#This Row],[Raw Mana/hr]]*(1+TblProd[[#This Row],[Bonus Mana/hr]])-TblProd[[#This Row],[Mana drain]],0)</f>
        <v>104</v>
      </c>
      <c r="W129" s="113">
        <f ca="1">ROUNDDOWN(TblProd[[#This Row],[Raw Ore/hr]]*(1+TblProd[[#This Row],[Bonux Ore/hr]]),0)</f>
        <v>1800</v>
      </c>
      <c r="X129" s="113">
        <f ca="1">ROUNDDOWN(TblProd[[#This Row],[Raw Gems/hr]]*(1+TblProd[[#This Row],[Bonus Gems/hr]]),0)</f>
        <v>0</v>
      </c>
      <c r="Y129" s="201">
        <f ca="1">OFFSET(TblConstr[[#This Row],[Tot Doc]],1,0)*dock_boats_hr * (1 + tech_4_1*TblTech[[#This Row],[4-1]])</f>
        <v>1</v>
      </c>
      <c r="Z129" s="200"/>
      <c r="AA129" s="113">
        <f ca="1">TblPop[[#This Row],[Peasants]]*tax*TblPop[[#This Row],[Employment]] + (Construction!AZ130+Construction!BX130)*(alch_plat+(Magic!AL129&gt;0)*alchemist_flame_bonus)</f>
        <v>23581.800000000003</v>
      </c>
      <c r="AB129" s="113">
        <f ca="1">TblConstr[[#This Row],[Tot Farm]]*farm_food + TblConstr[[#This Row],[Tot Doc]]*dock_food</f>
        <v>3100</v>
      </c>
      <c r="AC129" s="113">
        <f ca="1">TblConstr[[#This Row],[Tot Ly]]*ly_lumber + TblConstr[[#This Row],[Tot Hav]]*fh_lumber</f>
        <v>1000</v>
      </c>
      <c r="AD129" s="113">
        <f ca="1">OFFSET(TblConstr[[#This Row],[Tot Tow]],1,0)*(tower_mana + tech_4_5*TblTech[[#This Row],[4-5]])</f>
        <v>375</v>
      </c>
      <c r="AE129" s="113">
        <f ca="1">OFFSET(TblConstr[[#This Row],[Tot OM]],1,0)*om_ore+IF(race="Dwarf",ROUNDDOWN(TblMili[[#This Row],[Unit 2]]/2,0),)</f>
        <v>1800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869.94</v>
      </c>
      <c r="AP129" s="113">
        <f ca="1">(1+race_food_consumption)*TblPop[[#This Row],[Total]]*food_per_person*(1+tech_1_10*TblTech[[#This Row],[1-10]]+tech_7_5*TblTech[[#This Row],[7-5]])</f>
        <v>2490.75</v>
      </c>
      <c r="AQ129" s="113">
        <f ca="1">TblProd[[#This Row],[Lumber]]*lumber_rot * (1 + tech_2_1*TblTech[[#This Row],[2-1]] + tech_2_8*TblTech[[#This Row],[2-8]] + tech_5_2*TblTech[[#This Row],[5-2]])</f>
        <v>614.55000000000007</v>
      </c>
      <c r="AR129" s="113">
        <f ca="1">TblProd[[#This Row],[Mana]]*mana_drain * (1 + tech_2_1*TblTech[[#This Row],[2-1]] + tech_2_8*TblTech[[#This Row],[2-8]])</f>
        <v>270.63</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44409.95833333303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1790171</v>
      </c>
      <c r="BJ129" s="113">
        <f ca="1">TblProd[[#This Row],[Food]]</f>
        <v>86994</v>
      </c>
      <c r="BK129" s="113">
        <f ca="1">TblProd[[#This Row],[Lumber]]</f>
        <v>61455</v>
      </c>
      <c r="BL129" s="113">
        <f ca="1">TblProd[[#This Row],[Mana]]</f>
        <v>13531.5</v>
      </c>
      <c r="BM129" s="113">
        <f ca="1">TblProd[[#This Row],[Ore]]</f>
        <v>114590</v>
      </c>
    </row>
    <row r="130" spans="1:65" x14ac:dyDescent="0.2">
      <c r="A130" s="178">
        <v>55</v>
      </c>
      <c r="B130" s="198">
        <f ca="1">TblImps[[#This Row],[Time]]</f>
        <v>44409.999999999694</v>
      </c>
      <c r="C130" s="199"/>
      <c r="D130" s="200"/>
      <c r="E130" s="113">
        <f ca="1">TblConstr[[#This Row],[Land]]</f>
        <v>600</v>
      </c>
      <c r="F130" s="113">
        <f ca="1">TblPop[[#This Row],[Peasants]]</f>
        <v>4291</v>
      </c>
      <c r="G130" s="113">
        <f ca="1">TblMili[[#This Row],[Networth (2)]]</f>
        <v>29507.5</v>
      </c>
      <c r="H130" s="113">
        <f ca="1">OFFSET(TblProd[[#This Row],[Platinum]],-1,0)+OFFSET(TblProd[[#This Row],[Plat/hr]],-1,0) - TblProd[[#This Row],[Expenses Platinum]] + IF(TblProd[[#This Row],[Plat Bonus]],TblPop[[#This Row],[Peasants]]*4) + SUM(TblConstr[[#This Row],[Dest Hom]:[Dest Doc]])*TblConstr[[#This Row],[CPA Platinum -DB]]*tech_3_3_2*TblTech[[#This Row],[3-3]]</f>
        <v>1813752</v>
      </c>
      <c r="I130" s="113">
        <f ca="1">OFFSET(TblProd[[#This Row],[Food]],-1,0)+OFFSET(TblProd[[#This Row],[Food/hr]],-1,0)+ROUNDUP((TblConstr[[#This Row],[Farms]]*80+TblConstr[[#This Row],[Docks]]*35)*(1+OFFSET(TblProd[[#This Row],[Bonus Food/hr]],-1,0)),0)</f>
        <v>86966</v>
      </c>
      <c r="J130" s="113">
        <f ca="1">OFFSET(TblProd[[#This Row],[Lumber]],-1,0)+OFFSET(TblProd[[#This Row],[Lumber/hr]],-1,0) - TblProd[[#This Row],[Expenses Lumber]] + SUM(TblConstr[[#This Row],[Dest Hom]:[Dest Doc]])*TblConstr[[#This Row],[CPA Lumber -DB]]*tech_3_3_2*TblTech[[#This Row],[3-3]]</f>
        <v>61840</v>
      </c>
      <c r="K130" s="113">
        <f ca="1">OFFSET(TblProd[[#This Row],[Mana]],-1,0)+OFFSET(TblProd[[#This Row],[Mana/hr]],-1,0)- TblProd[[#This Row],[Expenses Mana]]</f>
        <v>13635.5</v>
      </c>
      <c r="L130" s="113">
        <f ca="1">OFFSET(TblProd[[#This Row],[Ore]],-1,0)+OFFSET(TblProd[[#This Row],[Ore/hr]],-1,0) -TblProd[[#This Row],[Expenses Ore]]</f>
        <v>116390</v>
      </c>
      <c r="M130" s="113">
        <f ca="1">OFFSET(TblProd[[#This Row],[Gems]],-1,0)+OFFSET(TblProd[[#This Row],[Gems/hr]],-1,0) - TblProd[[#This Row],[Expenses Gems]]</f>
        <v>0</v>
      </c>
      <c r="N130" s="113">
        <f ca="1">OFFSET(TblProd[[#This Row],[Boats]],-1,0)+OFFSET(TblProd[[#This Row],[Boats/hr]],-1,0)</f>
        <v>103</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2250</v>
      </c>
      <c r="Q130" s="113">
        <v>10000</v>
      </c>
      <c r="R130" s="184"/>
      <c r="S130" s="113">
        <f ca="1">ROUNDDOWN(TblProd[[#This Row],[Raw Plat/hr]]*(1+TblProd[[#This Row],[Bonus Plat/hr]]),0)</f>
        <v>23465</v>
      </c>
      <c r="T130" s="113">
        <f ca="1">ROUND(TblProd[[#This Row],[Raw Food/hr]]*(1+TblProd[[#This Row],[Bonus Food/hr]])-TblProd[[#This Row],[Food decay]]-TblProd[[#This Row],[Food eaten]],0)</f>
        <v>-28</v>
      </c>
      <c r="U130" s="113">
        <f ca="1">ROUND(TblProd[[#This Row],[Raw Lumber/hr]]*(1+TblProd[[#This Row],[Bonus Lumber/hr]])-TblProd[[#This Row],[Lumber rot]],0)</f>
        <v>382</v>
      </c>
      <c r="V130" s="113">
        <f ca="1">ROUND(TblProd[[#This Row],[Raw Mana/hr]]*(1+TblProd[[#This Row],[Bonus Mana/hr]])-TblProd[[#This Row],[Mana drain]],0)</f>
        <v>102</v>
      </c>
      <c r="W130" s="113">
        <f ca="1">ROUNDDOWN(TblProd[[#This Row],[Raw Ore/hr]]*(1+TblProd[[#This Row],[Bonux Ore/hr]]),0)</f>
        <v>1800</v>
      </c>
      <c r="X130" s="113">
        <f ca="1">ROUNDDOWN(TblProd[[#This Row],[Raw Gems/hr]]*(1+TblProd[[#This Row],[Bonus Gems/hr]]),0)</f>
        <v>0</v>
      </c>
      <c r="Y130" s="201">
        <f ca="1">OFFSET(TblConstr[[#This Row],[Tot Doc]],1,0)*dock_boats_hr * (1 + tech_4_1*TblTech[[#This Row],[4-1]])</f>
        <v>1</v>
      </c>
      <c r="Z130" s="200"/>
      <c r="AA130" s="113">
        <f ca="1">TblPop[[#This Row],[Peasants]]*tax*TblPop[[#This Row],[Employment]] + (Construction!AZ131+Construction!BX131)*(alch_plat+(Magic!AL130&gt;0)*alchemist_flame_bonus)</f>
        <v>23465.7</v>
      </c>
      <c r="AB130" s="113">
        <f ca="1">TblConstr[[#This Row],[Tot Farm]]*farm_food + TblConstr[[#This Row],[Tot Doc]]*dock_food</f>
        <v>3100</v>
      </c>
      <c r="AC130" s="113">
        <f ca="1">TblConstr[[#This Row],[Tot Ly]]*ly_lumber + TblConstr[[#This Row],[Tot Hav]]*fh_lumber</f>
        <v>1000</v>
      </c>
      <c r="AD130" s="113">
        <f ca="1">OFFSET(TblConstr[[#This Row],[Tot Tow]],1,0)*(tower_mana + tech_4_5*TblTech[[#This Row],[4-5]])</f>
        <v>375</v>
      </c>
      <c r="AE130" s="113">
        <f ca="1">OFFSET(TblConstr[[#This Row],[Tot OM]],1,0)*om_ore+IF(race="Dwarf",ROUNDDOWN(TblMili[[#This Row],[Unit 2]]/2,0),)</f>
        <v>1800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869.66</v>
      </c>
      <c r="AP130" s="113">
        <f ca="1">(1+race_food_consumption)*TblPop[[#This Row],[Total]]*food_per_person*(1+tech_1_10*TblTech[[#This Row],[1-10]]+tech_7_5*TblTech[[#This Row],[7-5]])</f>
        <v>2490.75</v>
      </c>
      <c r="AQ130" s="113">
        <f ca="1">TblProd[[#This Row],[Lumber]]*lumber_rot * (1 + tech_2_1*TblTech[[#This Row],[2-1]] + tech_2_8*TblTech[[#This Row],[2-8]] + tech_5_2*TblTech[[#This Row],[5-2]])</f>
        <v>618.4</v>
      </c>
      <c r="AR130" s="113">
        <f ca="1">TblProd[[#This Row],[Mana]]*mana_drain * (1 + tech_2_1*TblTech[[#This Row],[2-1]] + tech_2_8*TblTech[[#This Row],[2-8]])</f>
        <v>272.70999999999998</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44409.999999999694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1813752</v>
      </c>
      <c r="BJ130" s="113">
        <f ca="1">TblProd[[#This Row],[Food]]</f>
        <v>86966</v>
      </c>
      <c r="BK130" s="113">
        <f ca="1">TblProd[[#This Row],[Lumber]]</f>
        <v>61840</v>
      </c>
      <c r="BL130" s="113">
        <f ca="1">TblProd[[#This Row],[Mana]]</f>
        <v>13635.5</v>
      </c>
      <c r="BM130" s="113">
        <f ca="1">TblProd[[#This Row],[Ore]]</f>
        <v>116390</v>
      </c>
    </row>
    <row r="131" spans="1:65" x14ac:dyDescent="0.2">
      <c r="A131" s="178">
        <v>56</v>
      </c>
      <c r="B131" s="198">
        <f ca="1">TblImps[[#This Row],[Time]]</f>
        <v>44410.041666666359</v>
      </c>
      <c r="C131" s="199"/>
      <c r="D131" s="200"/>
      <c r="E131" s="113">
        <f ca="1">TblConstr[[#This Row],[Land]]</f>
        <v>600</v>
      </c>
      <c r="F131" s="113">
        <f ca="1">TblPop[[#This Row],[Peasants]]</f>
        <v>4248</v>
      </c>
      <c r="G131" s="113">
        <f ca="1">TblMili[[#This Row],[Networth (2)]]</f>
        <v>29507.5</v>
      </c>
      <c r="H131" s="113">
        <f ca="1">OFFSET(TblProd[[#This Row],[Platinum]],-1,0)+OFFSET(TblProd[[#This Row],[Plat/hr]],-1,0) - TblProd[[#This Row],[Expenses Platinum]] + IF(TblProd[[#This Row],[Plat Bonus]],TblPop[[#This Row],[Peasants]]*4) + SUM(TblConstr[[#This Row],[Dest Hom]:[Dest Doc]])*TblConstr[[#This Row],[CPA Platinum -DB]]*tech_3_3_2*TblTech[[#This Row],[3-3]]</f>
        <v>1837217</v>
      </c>
      <c r="I131" s="113">
        <f ca="1">OFFSET(TblProd[[#This Row],[Food]],-1,0)+OFFSET(TblProd[[#This Row],[Food/hr]],-1,0)+ROUNDUP((TblConstr[[#This Row],[Farms]]*80+TblConstr[[#This Row],[Docks]]*35)*(1+OFFSET(TblProd[[#This Row],[Bonus Food/hr]],-1,0)),0)</f>
        <v>86938</v>
      </c>
      <c r="J131" s="113">
        <f ca="1">OFFSET(TblProd[[#This Row],[Lumber]],-1,0)+OFFSET(TblProd[[#This Row],[Lumber/hr]],-1,0) - TblProd[[#This Row],[Expenses Lumber]] + SUM(TblConstr[[#This Row],[Dest Hom]:[Dest Doc]])*TblConstr[[#This Row],[CPA Lumber -DB]]*tech_3_3_2*TblTech[[#This Row],[3-3]]</f>
        <v>62222</v>
      </c>
      <c r="K131" s="113">
        <f ca="1">OFFSET(TblProd[[#This Row],[Mana]],-1,0)+OFFSET(TblProd[[#This Row],[Mana/hr]],-1,0)- TblProd[[#This Row],[Expenses Mana]]</f>
        <v>13737.5</v>
      </c>
      <c r="L131" s="113">
        <f ca="1">OFFSET(TblProd[[#This Row],[Ore]],-1,0)+OFFSET(TblProd[[#This Row],[Ore/hr]],-1,0) -TblProd[[#This Row],[Expenses Ore]]</f>
        <v>118190</v>
      </c>
      <c r="M131" s="113">
        <f ca="1">OFFSET(TblProd[[#This Row],[Gems]],-1,0)+OFFSET(TblProd[[#This Row],[Gems/hr]],-1,0) - TblProd[[#This Row],[Expenses Gems]]</f>
        <v>0</v>
      </c>
      <c r="N131" s="113">
        <f ca="1">OFFSET(TblProd[[#This Row],[Boats]],-1,0)+OFFSET(TblProd[[#This Row],[Boats/hr]],-1,0)</f>
        <v>104</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2250</v>
      </c>
      <c r="Q131" s="113">
        <v>10000</v>
      </c>
      <c r="R131" s="184"/>
      <c r="S131" s="113">
        <f ca="1">ROUNDDOWN(TblProd[[#This Row],[Raw Plat/hr]]*(1+TblProd[[#This Row],[Bonus Plat/hr]]),0)</f>
        <v>23349</v>
      </c>
      <c r="T131" s="113">
        <f ca="1">ROUND(TblProd[[#This Row],[Raw Food/hr]]*(1+TblProd[[#This Row],[Bonus Food/hr]])-TblProd[[#This Row],[Food decay]]-TblProd[[#This Row],[Food eaten]],0)</f>
        <v>-28</v>
      </c>
      <c r="U131" s="113">
        <f ca="1">ROUND(TblProd[[#This Row],[Raw Lumber/hr]]*(1+TblProd[[#This Row],[Bonus Lumber/hr]])-TblProd[[#This Row],[Lumber rot]],0)</f>
        <v>378</v>
      </c>
      <c r="V131" s="113">
        <f ca="1">ROUND(TblProd[[#This Row],[Raw Mana/hr]]*(1+TblProd[[#This Row],[Bonus Mana/hr]])-TblProd[[#This Row],[Mana drain]],0)</f>
        <v>100</v>
      </c>
      <c r="W131" s="113">
        <f ca="1">ROUNDDOWN(TblProd[[#This Row],[Raw Ore/hr]]*(1+TblProd[[#This Row],[Bonux Ore/hr]]),0)</f>
        <v>1800</v>
      </c>
      <c r="X131" s="113">
        <f ca="1">ROUNDDOWN(TblProd[[#This Row],[Raw Gems/hr]]*(1+TblProd[[#This Row],[Bonus Gems/hr]]),0)</f>
        <v>0</v>
      </c>
      <c r="Y131" s="201">
        <f ca="1">OFFSET(TblConstr[[#This Row],[Tot Doc]],1,0)*dock_boats_hr * (1 + tech_4_1*TblTech[[#This Row],[4-1]])</f>
        <v>1</v>
      </c>
      <c r="Z131" s="200"/>
      <c r="AA131" s="113">
        <f ca="1">TblPop[[#This Row],[Peasants]]*tax*TblPop[[#This Row],[Employment]] + (Construction!AZ132+Construction!BX132)*(alch_plat+(Magic!AL131&gt;0)*alchemist_flame_bonus)</f>
        <v>23349.599999999999</v>
      </c>
      <c r="AB131" s="113">
        <f ca="1">TblConstr[[#This Row],[Tot Farm]]*farm_food + TblConstr[[#This Row],[Tot Doc]]*dock_food</f>
        <v>3100</v>
      </c>
      <c r="AC131" s="113">
        <f ca="1">TblConstr[[#This Row],[Tot Ly]]*ly_lumber + TblConstr[[#This Row],[Tot Hav]]*fh_lumber</f>
        <v>1000</v>
      </c>
      <c r="AD131" s="113">
        <f ca="1">OFFSET(TblConstr[[#This Row],[Tot Tow]],1,0)*(tower_mana + tech_4_5*TblTech[[#This Row],[4-5]])</f>
        <v>375</v>
      </c>
      <c r="AE131" s="113">
        <f ca="1">OFFSET(TblConstr[[#This Row],[Tot OM]],1,0)*om_ore+IF(race="Dwarf",ROUNDDOWN(TblMili[[#This Row],[Unit 2]]/2,0),)</f>
        <v>1800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869.38</v>
      </c>
      <c r="AP131" s="113">
        <f ca="1">(1+race_food_consumption)*TblPop[[#This Row],[Total]]*food_per_person*(1+tech_1_10*TblTech[[#This Row],[1-10]]+tech_7_5*TblTech[[#This Row],[7-5]])</f>
        <v>2490.75</v>
      </c>
      <c r="AQ131" s="113">
        <f ca="1">TblProd[[#This Row],[Lumber]]*lumber_rot * (1 + tech_2_1*TblTech[[#This Row],[2-1]] + tech_2_8*TblTech[[#This Row],[2-8]] + tech_5_2*TblTech[[#This Row],[5-2]])</f>
        <v>622.22</v>
      </c>
      <c r="AR131" s="113">
        <f ca="1">TblProd[[#This Row],[Mana]]*mana_drain * (1 + tech_2_1*TblTech[[#This Row],[2-1]] + tech_2_8*TblTech[[#This Row],[2-8]])</f>
        <v>274.75</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44410.041666666359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1837217</v>
      </c>
      <c r="BJ131" s="113">
        <f ca="1">TblProd[[#This Row],[Food]]</f>
        <v>86938</v>
      </c>
      <c r="BK131" s="113">
        <f ca="1">TblProd[[#This Row],[Lumber]]</f>
        <v>62222</v>
      </c>
      <c r="BL131" s="113">
        <f ca="1">TblProd[[#This Row],[Mana]]</f>
        <v>13737.5</v>
      </c>
      <c r="BM131" s="113">
        <f ca="1">TblProd[[#This Row],[Ore]]</f>
        <v>118190</v>
      </c>
    </row>
    <row r="132" spans="1:65" x14ac:dyDescent="0.2">
      <c r="A132" s="178">
        <v>57</v>
      </c>
      <c r="B132" s="198">
        <f ca="1">TblImps[[#This Row],[Time]]</f>
        <v>44410.083333333023</v>
      </c>
      <c r="C132" s="199"/>
      <c r="D132" s="200"/>
      <c r="E132" s="113">
        <f ca="1">TblConstr[[#This Row],[Land]]</f>
        <v>600</v>
      </c>
      <c r="F132" s="113">
        <f ca="1">TblPop[[#This Row],[Peasants]]</f>
        <v>4206</v>
      </c>
      <c r="G132" s="113">
        <f ca="1">TblMili[[#This Row],[Networth (2)]]</f>
        <v>29507.5</v>
      </c>
      <c r="H132" s="113">
        <f ca="1">OFFSET(TblProd[[#This Row],[Platinum]],-1,0)+OFFSET(TblProd[[#This Row],[Plat/hr]],-1,0) - TblProd[[#This Row],[Expenses Platinum]] + IF(TblProd[[#This Row],[Plat Bonus]],TblPop[[#This Row],[Peasants]]*4) + SUM(TblConstr[[#This Row],[Dest Hom]:[Dest Doc]])*TblConstr[[#This Row],[CPA Platinum -DB]]*tech_3_3_2*TblTech[[#This Row],[3-3]]</f>
        <v>1860566</v>
      </c>
      <c r="I132" s="113">
        <f ca="1">OFFSET(TblProd[[#This Row],[Food]],-1,0)+OFFSET(TblProd[[#This Row],[Food/hr]],-1,0)+ROUNDUP((TblConstr[[#This Row],[Farms]]*80+TblConstr[[#This Row],[Docks]]*35)*(1+OFFSET(TblProd[[#This Row],[Bonus Food/hr]],-1,0)),0)</f>
        <v>86910</v>
      </c>
      <c r="J132" s="113">
        <f ca="1">OFFSET(TblProd[[#This Row],[Lumber]],-1,0)+OFFSET(TblProd[[#This Row],[Lumber/hr]],-1,0) - TblProd[[#This Row],[Expenses Lumber]] + SUM(TblConstr[[#This Row],[Dest Hom]:[Dest Doc]])*TblConstr[[#This Row],[CPA Lumber -DB]]*tech_3_3_2*TblTech[[#This Row],[3-3]]</f>
        <v>62600</v>
      </c>
      <c r="K132" s="113">
        <f ca="1">OFFSET(TblProd[[#This Row],[Mana]],-1,0)+OFFSET(TblProd[[#This Row],[Mana/hr]],-1,0)- TblProd[[#This Row],[Expenses Mana]]</f>
        <v>13837.5</v>
      </c>
      <c r="L132" s="113">
        <f ca="1">OFFSET(TblProd[[#This Row],[Ore]],-1,0)+OFFSET(TblProd[[#This Row],[Ore/hr]],-1,0) -TblProd[[#This Row],[Expenses Ore]]</f>
        <v>119990</v>
      </c>
      <c r="M132" s="113">
        <f ca="1">OFFSET(TblProd[[#This Row],[Gems]],-1,0)+OFFSET(TblProd[[#This Row],[Gems/hr]],-1,0) - TblProd[[#This Row],[Expenses Gems]]</f>
        <v>0</v>
      </c>
      <c r="N132" s="113">
        <f ca="1">OFFSET(TblProd[[#This Row],[Boats]],-1,0)+OFFSET(TblProd[[#This Row],[Boats/hr]],-1,0)</f>
        <v>105</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2250</v>
      </c>
      <c r="Q132" s="113">
        <v>10000</v>
      </c>
      <c r="R132" s="184"/>
      <c r="S132" s="113">
        <f ca="1">ROUNDDOWN(TblProd[[#This Row],[Raw Plat/hr]]*(1+TblProd[[#This Row],[Bonus Plat/hr]]),0)</f>
        <v>23236</v>
      </c>
      <c r="T132" s="113">
        <f ca="1">ROUND(TblProd[[#This Row],[Raw Food/hr]]*(1+TblProd[[#This Row],[Bonus Food/hr]])-TblProd[[#This Row],[Food decay]]-TblProd[[#This Row],[Food eaten]],0)</f>
        <v>-27</v>
      </c>
      <c r="U132" s="113">
        <f ca="1">ROUND(TblProd[[#This Row],[Raw Lumber/hr]]*(1+TblProd[[#This Row],[Bonus Lumber/hr]])-TblProd[[#This Row],[Lumber rot]],0)</f>
        <v>374</v>
      </c>
      <c r="V132" s="113">
        <f ca="1">ROUND(TblProd[[#This Row],[Raw Mana/hr]]*(1+TblProd[[#This Row],[Bonus Mana/hr]])-TblProd[[#This Row],[Mana drain]],0)</f>
        <v>98</v>
      </c>
      <c r="W132" s="113">
        <f ca="1">ROUNDDOWN(TblProd[[#This Row],[Raw Ore/hr]]*(1+TblProd[[#This Row],[Bonux Ore/hr]]),0)</f>
        <v>1800</v>
      </c>
      <c r="X132" s="113">
        <f ca="1">ROUNDDOWN(TblProd[[#This Row],[Raw Gems/hr]]*(1+TblProd[[#This Row],[Bonus Gems/hr]]),0)</f>
        <v>0</v>
      </c>
      <c r="Y132" s="201">
        <f ca="1">OFFSET(TblConstr[[#This Row],[Tot Doc]],1,0)*dock_boats_hr * (1 + tech_4_1*TblTech[[#This Row],[4-1]])</f>
        <v>1</v>
      </c>
      <c r="Z132" s="200"/>
      <c r="AA132" s="113">
        <f ca="1">TblPop[[#This Row],[Peasants]]*tax*TblPop[[#This Row],[Employment]] + (Construction!AZ133+Construction!BX133)*(alch_plat+(Magic!AL132&gt;0)*alchemist_flame_bonus)</f>
        <v>23236.2</v>
      </c>
      <c r="AB132" s="113">
        <f ca="1">TblConstr[[#This Row],[Tot Farm]]*farm_food + TblConstr[[#This Row],[Tot Doc]]*dock_food</f>
        <v>3100</v>
      </c>
      <c r="AC132" s="113">
        <f ca="1">TblConstr[[#This Row],[Tot Ly]]*ly_lumber + TblConstr[[#This Row],[Tot Hav]]*fh_lumber</f>
        <v>1000</v>
      </c>
      <c r="AD132" s="113">
        <f ca="1">OFFSET(TblConstr[[#This Row],[Tot Tow]],1,0)*(tower_mana + tech_4_5*TblTech[[#This Row],[4-5]])</f>
        <v>375</v>
      </c>
      <c r="AE132" s="113">
        <f ca="1">OFFSET(TblConstr[[#This Row],[Tot OM]],1,0)*om_ore+IF(race="Dwarf",ROUNDDOWN(TblMili[[#This Row],[Unit 2]]/2,0),)</f>
        <v>1800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869.1</v>
      </c>
      <c r="AP132" s="113">
        <f ca="1">(1+race_food_consumption)*TblPop[[#This Row],[Total]]*food_per_person*(1+tech_1_10*TblTech[[#This Row],[1-10]]+tech_7_5*TblTech[[#This Row],[7-5]])</f>
        <v>2490.75</v>
      </c>
      <c r="AQ132" s="113">
        <f ca="1">TblProd[[#This Row],[Lumber]]*lumber_rot * (1 + tech_2_1*TblTech[[#This Row],[2-1]] + tech_2_8*TblTech[[#This Row],[2-8]] + tech_5_2*TblTech[[#This Row],[5-2]])</f>
        <v>626</v>
      </c>
      <c r="AR132" s="113">
        <f ca="1">TblProd[[#This Row],[Mana]]*mana_drain * (1 + tech_2_1*TblTech[[#This Row],[2-1]] + tech_2_8*TblTech[[#This Row],[2-8]])</f>
        <v>276.75</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44410.083333333023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1860566</v>
      </c>
      <c r="BJ132" s="113">
        <f ca="1">TblProd[[#This Row],[Food]]</f>
        <v>86910</v>
      </c>
      <c r="BK132" s="113">
        <f ca="1">TblProd[[#This Row],[Lumber]]</f>
        <v>62600</v>
      </c>
      <c r="BL132" s="113">
        <f ca="1">TblProd[[#This Row],[Mana]]</f>
        <v>13837.5</v>
      </c>
      <c r="BM132" s="113">
        <f ca="1">TblProd[[#This Row],[Ore]]</f>
        <v>119990</v>
      </c>
    </row>
    <row r="133" spans="1:65" x14ac:dyDescent="0.2">
      <c r="A133" s="178">
        <v>58</v>
      </c>
      <c r="B133" s="198">
        <f ca="1">TblImps[[#This Row],[Time]]</f>
        <v>44410.124999999687</v>
      </c>
      <c r="C133" s="199"/>
      <c r="D133" s="200"/>
      <c r="E133" s="113">
        <f ca="1">TblConstr[[#This Row],[Land]]</f>
        <v>600</v>
      </c>
      <c r="F133" s="113">
        <f ca="1">TblPop[[#This Row],[Peasants]]</f>
        <v>4164</v>
      </c>
      <c r="G133" s="113">
        <f ca="1">TblMili[[#This Row],[Networth (2)]]</f>
        <v>29507.5</v>
      </c>
      <c r="H133" s="113">
        <f ca="1">OFFSET(TblProd[[#This Row],[Platinum]],-1,0)+OFFSET(TblProd[[#This Row],[Plat/hr]],-1,0) - TblProd[[#This Row],[Expenses Platinum]] + IF(TblProd[[#This Row],[Plat Bonus]],TblPop[[#This Row],[Peasants]]*4) + SUM(TblConstr[[#This Row],[Dest Hom]:[Dest Doc]])*TblConstr[[#This Row],[CPA Platinum -DB]]*tech_3_3_2*TblTech[[#This Row],[3-3]]</f>
        <v>1883802</v>
      </c>
      <c r="I133" s="113">
        <f ca="1">OFFSET(TblProd[[#This Row],[Food]],-1,0)+OFFSET(TblProd[[#This Row],[Food/hr]],-1,0)+ROUNDUP((TblConstr[[#This Row],[Farms]]*80+TblConstr[[#This Row],[Docks]]*35)*(1+OFFSET(TblProd[[#This Row],[Bonus Food/hr]],-1,0)),0)</f>
        <v>86883</v>
      </c>
      <c r="J133" s="113">
        <f ca="1">OFFSET(TblProd[[#This Row],[Lumber]],-1,0)+OFFSET(TblProd[[#This Row],[Lumber/hr]],-1,0) - TblProd[[#This Row],[Expenses Lumber]] + SUM(TblConstr[[#This Row],[Dest Hom]:[Dest Doc]])*TblConstr[[#This Row],[CPA Lumber -DB]]*tech_3_3_2*TblTech[[#This Row],[3-3]]</f>
        <v>62974</v>
      </c>
      <c r="K133" s="113">
        <f ca="1">OFFSET(TblProd[[#This Row],[Mana]],-1,0)+OFFSET(TblProd[[#This Row],[Mana/hr]],-1,0)- TblProd[[#This Row],[Expenses Mana]]</f>
        <v>13935.5</v>
      </c>
      <c r="L133" s="113">
        <f ca="1">OFFSET(TblProd[[#This Row],[Ore]],-1,0)+OFFSET(TblProd[[#This Row],[Ore/hr]],-1,0) -TblProd[[#This Row],[Expenses Ore]]</f>
        <v>121790</v>
      </c>
      <c r="M133" s="113">
        <f ca="1">OFFSET(TblProd[[#This Row],[Gems]],-1,0)+OFFSET(TblProd[[#This Row],[Gems/hr]],-1,0) - TblProd[[#This Row],[Expenses Gems]]</f>
        <v>0</v>
      </c>
      <c r="N133" s="113">
        <f ca="1">OFFSET(TblProd[[#This Row],[Boats]],-1,0)+OFFSET(TblProd[[#This Row],[Boats/hr]],-1,0)</f>
        <v>106</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2250</v>
      </c>
      <c r="Q133" s="113">
        <v>10000</v>
      </c>
      <c r="R133" s="184"/>
      <c r="S133" s="113">
        <f ca="1">ROUNDDOWN(TblProd[[#This Row],[Raw Plat/hr]]*(1+TblProd[[#This Row],[Bonus Plat/hr]]),0)</f>
        <v>23122</v>
      </c>
      <c r="T133" s="113">
        <f ca="1">ROUND(TblProd[[#This Row],[Raw Food/hr]]*(1+TblProd[[#This Row],[Bonus Food/hr]])-TblProd[[#This Row],[Food decay]]-TblProd[[#This Row],[Food eaten]],0)</f>
        <v>-27</v>
      </c>
      <c r="U133" s="113">
        <f ca="1">ROUND(TblProd[[#This Row],[Raw Lumber/hr]]*(1+TblProd[[#This Row],[Bonus Lumber/hr]])-TblProd[[#This Row],[Lumber rot]],0)</f>
        <v>370</v>
      </c>
      <c r="V133" s="113">
        <f ca="1">ROUND(TblProd[[#This Row],[Raw Mana/hr]]*(1+TblProd[[#This Row],[Bonus Mana/hr]])-TblProd[[#This Row],[Mana drain]],0)</f>
        <v>96</v>
      </c>
      <c r="W133" s="113">
        <f ca="1">ROUNDDOWN(TblProd[[#This Row],[Raw Ore/hr]]*(1+TblProd[[#This Row],[Bonux Ore/hr]]),0)</f>
        <v>1800</v>
      </c>
      <c r="X133" s="113">
        <f ca="1">ROUNDDOWN(TblProd[[#This Row],[Raw Gems/hr]]*(1+TblProd[[#This Row],[Bonus Gems/hr]]),0)</f>
        <v>0</v>
      </c>
      <c r="Y133" s="201">
        <f ca="1">OFFSET(TblConstr[[#This Row],[Tot Doc]],1,0)*dock_boats_hr * (1 + tech_4_1*TblTech[[#This Row],[4-1]])</f>
        <v>1</v>
      </c>
      <c r="Z133" s="200"/>
      <c r="AA133" s="113">
        <f ca="1">TblPop[[#This Row],[Peasants]]*tax*TblPop[[#This Row],[Employment]] + (Construction!AZ134+Construction!BX134)*(alch_plat+(Magic!AL133&gt;0)*alchemist_flame_bonus)</f>
        <v>23122.800000000003</v>
      </c>
      <c r="AB133" s="113">
        <f ca="1">TblConstr[[#This Row],[Tot Farm]]*farm_food + TblConstr[[#This Row],[Tot Doc]]*dock_food</f>
        <v>3100</v>
      </c>
      <c r="AC133" s="113">
        <f ca="1">TblConstr[[#This Row],[Tot Ly]]*ly_lumber + TblConstr[[#This Row],[Tot Hav]]*fh_lumber</f>
        <v>1000</v>
      </c>
      <c r="AD133" s="113">
        <f ca="1">OFFSET(TblConstr[[#This Row],[Tot Tow]],1,0)*(tower_mana + tech_4_5*TblTech[[#This Row],[4-5]])</f>
        <v>375</v>
      </c>
      <c r="AE133" s="113">
        <f ca="1">OFFSET(TblConstr[[#This Row],[Tot OM]],1,0)*om_ore+IF(race="Dwarf",ROUNDDOWN(TblMili[[#This Row],[Unit 2]]/2,0),)</f>
        <v>1800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868.83</v>
      </c>
      <c r="AP133" s="113">
        <f ca="1">(1+race_food_consumption)*TblPop[[#This Row],[Total]]*food_per_person*(1+tech_1_10*TblTech[[#This Row],[1-10]]+tech_7_5*TblTech[[#This Row],[7-5]])</f>
        <v>2490.75</v>
      </c>
      <c r="AQ133" s="113">
        <f ca="1">TblProd[[#This Row],[Lumber]]*lumber_rot * (1 + tech_2_1*TblTech[[#This Row],[2-1]] + tech_2_8*TblTech[[#This Row],[2-8]] + tech_5_2*TblTech[[#This Row],[5-2]])</f>
        <v>629.74</v>
      </c>
      <c r="AR133" s="113">
        <f ca="1">TblProd[[#This Row],[Mana]]*mana_drain * (1 + tech_2_1*TblTech[[#This Row],[2-1]] + tech_2_8*TblTech[[#This Row],[2-8]])</f>
        <v>278.70999999999998</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44410.124999999687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1883802</v>
      </c>
      <c r="BJ133" s="113">
        <f ca="1">TblProd[[#This Row],[Food]]</f>
        <v>86883</v>
      </c>
      <c r="BK133" s="113">
        <f ca="1">TblProd[[#This Row],[Lumber]]</f>
        <v>62974</v>
      </c>
      <c r="BL133" s="113">
        <f ca="1">TblProd[[#This Row],[Mana]]</f>
        <v>13935.5</v>
      </c>
      <c r="BM133" s="113">
        <f ca="1">TblProd[[#This Row],[Ore]]</f>
        <v>121790</v>
      </c>
    </row>
    <row r="134" spans="1:65" x14ac:dyDescent="0.2">
      <c r="A134" s="178">
        <v>59</v>
      </c>
      <c r="B134" s="198">
        <f ca="1">TblImps[[#This Row],[Time]]</f>
        <v>44410.166666666351</v>
      </c>
      <c r="C134" s="199"/>
      <c r="D134" s="200"/>
      <c r="E134" s="113">
        <f ca="1">TblConstr[[#This Row],[Land]]</f>
        <v>600</v>
      </c>
      <c r="F134" s="113">
        <f ca="1">TblPop[[#This Row],[Peasants]]</f>
        <v>4122</v>
      </c>
      <c r="G134" s="113">
        <f ca="1">TblMili[[#This Row],[Networth (2)]]</f>
        <v>29507.5</v>
      </c>
      <c r="H134" s="113">
        <f ca="1">OFFSET(TblProd[[#This Row],[Platinum]],-1,0)+OFFSET(TblProd[[#This Row],[Plat/hr]],-1,0) - TblProd[[#This Row],[Expenses Platinum]] + IF(TblProd[[#This Row],[Plat Bonus]],TblPop[[#This Row],[Peasants]]*4) + SUM(TblConstr[[#This Row],[Dest Hom]:[Dest Doc]])*TblConstr[[#This Row],[CPA Platinum -DB]]*tech_3_3_2*TblTech[[#This Row],[3-3]]</f>
        <v>1906924</v>
      </c>
      <c r="I134" s="113">
        <f ca="1">OFFSET(TblProd[[#This Row],[Food]],-1,0)+OFFSET(TblProd[[#This Row],[Food/hr]],-1,0)+ROUNDUP((TblConstr[[#This Row],[Farms]]*80+TblConstr[[#This Row],[Docks]]*35)*(1+OFFSET(TblProd[[#This Row],[Bonus Food/hr]],-1,0)),0)</f>
        <v>86856</v>
      </c>
      <c r="J134" s="113">
        <f ca="1">OFFSET(TblProd[[#This Row],[Lumber]],-1,0)+OFFSET(TblProd[[#This Row],[Lumber/hr]],-1,0) - TblProd[[#This Row],[Expenses Lumber]] + SUM(TblConstr[[#This Row],[Dest Hom]:[Dest Doc]])*TblConstr[[#This Row],[CPA Lumber -DB]]*tech_3_3_2*TblTech[[#This Row],[3-3]]</f>
        <v>63344</v>
      </c>
      <c r="K134" s="113">
        <f ca="1">OFFSET(TblProd[[#This Row],[Mana]],-1,0)+OFFSET(TblProd[[#This Row],[Mana/hr]],-1,0)- TblProd[[#This Row],[Expenses Mana]]</f>
        <v>14031.5</v>
      </c>
      <c r="L134" s="113">
        <f ca="1">OFFSET(TblProd[[#This Row],[Ore]],-1,0)+OFFSET(TblProd[[#This Row],[Ore/hr]],-1,0) -TblProd[[#This Row],[Expenses Ore]]</f>
        <v>123590</v>
      </c>
      <c r="M134" s="113">
        <f ca="1">OFFSET(TblProd[[#This Row],[Gems]],-1,0)+OFFSET(TblProd[[#This Row],[Gems/hr]],-1,0) - TblProd[[#This Row],[Expenses Gems]]</f>
        <v>0</v>
      </c>
      <c r="N134" s="113">
        <f ca="1">OFFSET(TblProd[[#This Row],[Boats]],-1,0)+OFFSET(TblProd[[#This Row],[Boats/hr]],-1,0)</f>
        <v>107</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2250</v>
      </c>
      <c r="Q134" s="113">
        <v>10000</v>
      </c>
      <c r="R134" s="184"/>
      <c r="S134" s="113">
        <f ca="1">ROUNDDOWN(TblProd[[#This Row],[Raw Plat/hr]]*(1+TblProd[[#This Row],[Bonus Plat/hr]]),0)</f>
        <v>23009</v>
      </c>
      <c r="T134" s="113">
        <f ca="1">ROUND(TblProd[[#This Row],[Raw Food/hr]]*(1+TblProd[[#This Row],[Bonus Food/hr]])-TblProd[[#This Row],[Food decay]]-TblProd[[#This Row],[Food eaten]],0)</f>
        <v>-27</v>
      </c>
      <c r="U134" s="113">
        <f ca="1">ROUND(TblProd[[#This Row],[Raw Lumber/hr]]*(1+TblProd[[#This Row],[Bonus Lumber/hr]])-TblProd[[#This Row],[Lumber rot]],0)</f>
        <v>367</v>
      </c>
      <c r="V134" s="113">
        <f ca="1">ROUND(TblProd[[#This Row],[Raw Mana/hr]]*(1+TblProd[[#This Row],[Bonus Mana/hr]])-TblProd[[#This Row],[Mana drain]],0)</f>
        <v>94</v>
      </c>
      <c r="W134" s="113">
        <f ca="1">ROUNDDOWN(TblProd[[#This Row],[Raw Ore/hr]]*(1+TblProd[[#This Row],[Bonux Ore/hr]]),0)</f>
        <v>1800</v>
      </c>
      <c r="X134" s="113">
        <f ca="1">ROUNDDOWN(TblProd[[#This Row],[Raw Gems/hr]]*(1+TblProd[[#This Row],[Bonus Gems/hr]]),0)</f>
        <v>0</v>
      </c>
      <c r="Y134" s="201">
        <f ca="1">OFFSET(TblConstr[[#This Row],[Tot Doc]],1,0)*dock_boats_hr * (1 + tech_4_1*TblTech[[#This Row],[4-1]])</f>
        <v>1</v>
      </c>
      <c r="Z134" s="200"/>
      <c r="AA134" s="113">
        <f ca="1">TblPop[[#This Row],[Peasants]]*tax*TblPop[[#This Row],[Employment]] + (Construction!AZ135+Construction!BX135)*(alch_plat+(Magic!AL134&gt;0)*alchemist_flame_bonus)</f>
        <v>23009.4</v>
      </c>
      <c r="AB134" s="113">
        <f ca="1">TblConstr[[#This Row],[Tot Farm]]*farm_food + TblConstr[[#This Row],[Tot Doc]]*dock_food</f>
        <v>3100</v>
      </c>
      <c r="AC134" s="113">
        <f ca="1">TblConstr[[#This Row],[Tot Ly]]*ly_lumber + TblConstr[[#This Row],[Tot Hav]]*fh_lumber</f>
        <v>1000</v>
      </c>
      <c r="AD134" s="113">
        <f ca="1">OFFSET(TblConstr[[#This Row],[Tot Tow]],1,0)*(tower_mana + tech_4_5*TblTech[[#This Row],[4-5]])</f>
        <v>375</v>
      </c>
      <c r="AE134" s="113">
        <f ca="1">OFFSET(TblConstr[[#This Row],[Tot OM]],1,0)*om_ore+IF(race="Dwarf",ROUNDDOWN(TblMili[[#This Row],[Unit 2]]/2,0),)</f>
        <v>1800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868.56000000000006</v>
      </c>
      <c r="AP134" s="113">
        <f ca="1">(1+race_food_consumption)*TblPop[[#This Row],[Total]]*food_per_person*(1+tech_1_10*TblTech[[#This Row],[1-10]]+tech_7_5*TblTech[[#This Row],[7-5]])</f>
        <v>2490.75</v>
      </c>
      <c r="AQ134" s="113">
        <f ca="1">TblProd[[#This Row],[Lumber]]*lumber_rot * (1 + tech_2_1*TblTech[[#This Row],[2-1]] + tech_2_8*TblTech[[#This Row],[2-8]] + tech_5_2*TblTech[[#This Row],[5-2]])</f>
        <v>633.44000000000005</v>
      </c>
      <c r="AR134" s="113">
        <f ca="1">TblProd[[#This Row],[Mana]]*mana_drain * (1 + tech_2_1*TblTech[[#This Row],[2-1]] + tech_2_8*TblTech[[#This Row],[2-8]])</f>
        <v>280.63</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44410.166666666351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1906924</v>
      </c>
      <c r="BJ134" s="113">
        <f ca="1">TblProd[[#This Row],[Food]]</f>
        <v>86856</v>
      </c>
      <c r="BK134" s="113">
        <f ca="1">TblProd[[#This Row],[Lumber]]</f>
        <v>63344</v>
      </c>
      <c r="BL134" s="113">
        <f ca="1">TblProd[[#This Row],[Mana]]</f>
        <v>14031.5</v>
      </c>
      <c r="BM134" s="113">
        <f ca="1">TblProd[[#This Row],[Ore]]</f>
        <v>123590</v>
      </c>
    </row>
    <row r="135" spans="1:65" x14ac:dyDescent="0.2">
      <c r="A135" s="178">
        <v>60</v>
      </c>
      <c r="B135" s="198">
        <f ca="1">TblImps[[#This Row],[Time]]</f>
        <v>44410.208333333016</v>
      </c>
      <c r="C135" s="199"/>
      <c r="D135" s="200"/>
      <c r="E135" s="113">
        <f ca="1">TblConstr[[#This Row],[Land]]</f>
        <v>600</v>
      </c>
      <c r="F135" s="113">
        <f ca="1">TblPop[[#This Row],[Peasants]]</f>
        <v>4081</v>
      </c>
      <c r="G135" s="113">
        <f ca="1">TblMili[[#This Row],[Networth (2)]]</f>
        <v>29507.5</v>
      </c>
      <c r="H135" s="113">
        <f ca="1">OFFSET(TblProd[[#This Row],[Platinum]],-1,0)+OFFSET(TblProd[[#This Row],[Plat/hr]],-1,0) - TblProd[[#This Row],[Expenses Platinum]] + IF(TblProd[[#This Row],[Plat Bonus]],TblPop[[#This Row],[Peasants]]*4) + SUM(TblConstr[[#This Row],[Dest Hom]:[Dest Doc]])*TblConstr[[#This Row],[CPA Platinum -DB]]*tech_3_3_2*TblTech[[#This Row],[3-3]]</f>
        <v>1929933</v>
      </c>
      <c r="I135" s="113">
        <f ca="1">OFFSET(TblProd[[#This Row],[Food]],-1,0)+OFFSET(TblProd[[#This Row],[Food/hr]],-1,0)+ROUNDUP((TblConstr[[#This Row],[Farms]]*80+TblConstr[[#This Row],[Docks]]*35)*(1+OFFSET(TblProd[[#This Row],[Bonus Food/hr]],-1,0)),0)</f>
        <v>86829</v>
      </c>
      <c r="J135" s="113">
        <f ca="1">OFFSET(TblProd[[#This Row],[Lumber]],-1,0)+OFFSET(TblProd[[#This Row],[Lumber/hr]],-1,0) - TblProd[[#This Row],[Expenses Lumber]] + SUM(TblConstr[[#This Row],[Dest Hom]:[Dest Doc]])*TblConstr[[#This Row],[CPA Lumber -DB]]*tech_3_3_2*TblTech[[#This Row],[3-3]]</f>
        <v>63711</v>
      </c>
      <c r="K135" s="113">
        <f ca="1">OFFSET(TblProd[[#This Row],[Mana]],-1,0)+OFFSET(TblProd[[#This Row],[Mana/hr]],-1,0)- TblProd[[#This Row],[Expenses Mana]]</f>
        <v>14125.5</v>
      </c>
      <c r="L135" s="113">
        <f ca="1">OFFSET(TblProd[[#This Row],[Ore]],-1,0)+OFFSET(TblProd[[#This Row],[Ore/hr]],-1,0) -TblProd[[#This Row],[Expenses Ore]]</f>
        <v>125390</v>
      </c>
      <c r="M135" s="113">
        <f ca="1">OFFSET(TblProd[[#This Row],[Gems]],-1,0)+OFFSET(TblProd[[#This Row],[Gems/hr]],-1,0) - TblProd[[#This Row],[Expenses Gems]]</f>
        <v>0</v>
      </c>
      <c r="N135" s="113">
        <f ca="1">OFFSET(TblProd[[#This Row],[Boats]],-1,0)+OFFSET(TblProd[[#This Row],[Boats/hr]],-1,0)</f>
        <v>108</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2250</v>
      </c>
      <c r="Q135" s="113">
        <v>10000</v>
      </c>
      <c r="R135" s="184"/>
      <c r="S135" s="113">
        <f ca="1">ROUNDDOWN(TblProd[[#This Row],[Raw Plat/hr]]*(1+TblProd[[#This Row],[Bonus Plat/hr]]),0)</f>
        <v>22898</v>
      </c>
      <c r="T135" s="113">
        <f ca="1">ROUND(TblProd[[#This Row],[Raw Food/hr]]*(1+TblProd[[#This Row],[Bonus Food/hr]])-TblProd[[#This Row],[Food decay]]-TblProd[[#This Row],[Food eaten]],0)</f>
        <v>-27</v>
      </c>
      <c r="U135" s="113">
        <f ca="1">ROUND(TblProd[[#This Row],[Raw Lumber/hr]]*(1+TblProd[[#This Row],[Bonus Lumber/hr]])-TblProd[[#This Row],[Lumber rot]],0)</f>
        <v>363</v>
      </c>
      <c r="V135" s="113">
        <f ca="1">ROUND(TblProd[[#This Row],[Raw Mana/hr]]*(1+TblProd[[#This Row],[Bonus Mana/hr]])-TblProd[[#This Row],[Mana drain]],0)</f>
        <v>92</v>
      </c>
      <c r="W135" s="113">
        <f ca="1">ROUNDDOWN(TblProd[[#This Row],[Raw Ore/hr]]*(1+TblProd[[#This Row],[Bonux Ore/hr]]),0)</f>
        <v>1800</v>
      </c>
      <c r="X135" s="113">
        <f ca="1">ROUNDDOWN(TblProd[[#This Row],[Raw Gems/hr]]*(1+TblProd[[#This Row],[Bonus Gems/hr]]),0)</f>
        <v>0</v>
      </c>
      <c r="Y135" s="201">
        <f ca="1">OFFSET(TblConstr[[#This Row],[Tot Doc]],1,0)*dock_boats_hr * (1 + tech_4_1*TblTech[[#This Row],[4-1]])</f>
        <v>1</v>
      </c>
      <c r="Z135" s="200"/>
      <c r="AA135" s="113">
        <f ca="1">TblPop[[#This Row],[Peasants]]*tax*TblPop[[#This Row],[Employment]] + (Construction!AZ136+Construction!BX136)*(alch_plat+(Magic!AL135&gt;0)*alchemist_flame_bonus)</f>
        <v>22898.7</v>
      </c>
      <c r="AB135" s="113">
        <f ca="1">TblConstr[[#This Row],[Tot Farm]]*farm_food + TblConstr[[#This Row],[Tot Doc]]*dock_food</f>
        <v>3100</v>
      </c>
      <c r="AC135" s="113">
        <f ca="1">TblConstr[[#This Row],[Tot Ly]]*ly_lumber + TblConstr[[#This Row],[Tot Hav]]*fh_lumber</f>
        <v>1000</v>
      </c>
      <c r="AD135" s="113">
        <f ca="1">OFFSET(TblConstr[[#This Row],[Tot Tow]],1,0)*(tower_mana + tech_4_5*TblTech[[#This Row],[4-5]])</f>
        <v>375</v>
      </c>
      <c r="AE135" s="113">
        <f ca="1">OFFSET(TblConstr[[#This Row],[Tot OM]],1,0)*om_ore+IF(race="Dwarf",ROUNDDOWN(TblMili[[#This Row],[Unit 2]]/2,0),)</f>
        <v>1800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868.29</v>
      </c>
      <c r="AP135" s="113">
        <f ca="1">(1+race_food_consumption)*TblPop[[#This Row],[Total]]*food_per_person*(1+tech_1_10*TblTech[[#This Row],[1-10]]+tech_7_5*TblTech[[#This Row],[7-5]])</f>
        <v>2490.75</v>
      </c>
      <c r="AQ135" s="113">
        <f ca="1">TblProd[[#This Row],[Lumber]]*lumber_rot * (1 + tech_2_1*TblTech[[#This Row],[2-1]] + tech_2_8*TblTech[[#This Row],[2-8]] + tech_5_2*TblTech[[#This Row],[5-2]])</f>
        <v>637.11</v>
      </c>
      <c r="AR135" s="113">
        <f ca="1">TblProd[[#This Row],[Mana]]*mana_drain * (1 + tech_2_1*TblTech[[#This Row],[2-1]] + tech_2_8*TblTech[[#This Row],[2-8]])</f>
        <v>282.51</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44410.208333333016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1929933</v>
      </c>
      <c r="BJ135" s="113">
        <f ca="1">TblProd[[#This Row],[Food]]</f>
        <v>86829</v>
      </c>
      <c r="BK135" s="113">
        <f ca="1">TblProd[[#This Row],[Lumber]]</f>
        <v>63711</v>
      </c>
      <c r="BL135" s="113">
        <f ca="1">TblProd[[#This Row],[Mana]]</f>
        <v>14125.5</v>
      </c>
      <c r="BM135" s="113">
        <f ca="1">TblProd[[#This Row],[Ore]]</f>
        <v>125390</v>
      </c>
    </row>
    <row r="136" spans="1:65" x14ac:dyDescent="0.2">
      <c r="A136" s="178">
        <v>61</v>
      </c>
      <c r="B136" s="198">
        <f ca="1">TblImps[[#This Row],[Time]]</f>
        <v>44410.24999999968</v>
      </c>
      <c r="C136" s="199"/>
      <c r="D136" s="200"/>
      <c r="E136" s="113">
        <f ca="1">TblConstr[[#This Row],[Land]]</f>
        <v>600</v>
      </c>
      <c r="F136" s="113">
        <f ca="1">TblPop[[#This Row],[Peasants]]</f>
        <v>4040</v>
      </c>
      <c r="G136" s="113">
        <f ca="1">TblMili[[#This Row],[Networth (2)]]</f>
        <v>29507.5</v>
      </c>
      <c r="H136" s="113">
        <f ca="1">OFFSET(TblProd[[#This Row],[Platinum]],-1,0)+OFFSET(TblProd[[#This Row],[Plat/hr]],-1,0) - TblProd[[#This Row],[Expenses Platinum]] + IF(TblProd[[#This Row],[Plat Bonus]],TblPop[[#This Row],[Peasants]]*4) + SUM(TblConstr[[#This Row],[Dest Hom]:[Dest Doc]])*TblConstr[[#This Row],[CPA Platinum -DB]]*tech_3_3_2*TblTech[[#This Row],[3-3]]</f>
        <v>1952831</v>
      </c>
      <c r="I136" s="113">
        <f ca="1">OFFSET(TblProd[[#This Row],[Food]],-1,0)+OFFSET(TblProd[[#This Row],[Food/hr]],-1,0)+ROUNDUP((TblConstr[[#This Row],[Farms]]*80+TblConstr[[#This Row],[Docks]]*35)*(1+OFFSET(TblProd[[#This Row],[Bonus Food/hr]],-1,0)),0)</f>
        <v>86802</v>
      </c>
      <c r="J136" s="113">
        <f ca="1">OFFSET(TblProd[[#This Row],[Lumber]],-1,0)+OFFSET(TblProd[[#This Row],[Lumber/hr]],-1,0) - TblProd[[#This Row],[Expenses Lumber]] + SUM(TblConstr[[#This Row],[Dest Hom]:[Dest Doc]])*TblConstr[[#This Row],[CPA Lumber -DB]]*tech_3_3_2*TblTech[[#This Row],[3-3]]</f>
        <v>64074</v>
      </c>
      <c r="K136" s="113">
        <f ca="1">OFFSET(TblProd[[#This Row],[Mana]],-1,0)+OFFSET(TblProd[[#This Row],[Mana/hr]],-1,0)- TblProd[[#This Row],[Expenses Mana]]</f>
        <v>14217.5</v>
      </c>
      <c r="L136" s="113">
        <f ca="1">OFFSET(TblProd[[#This Row],[Ore]],-1,0)+OFFSET(TblProd[[#This Row],[Ore/hr]],-1,0) -TblProd[[#This Row],[Expenses Ore]]</f>
        <v>127190</v>
      </c>
      <c r="M136" s="113">
        <f ca="1">OFFSET(TblProd[[#This Row],[Gems]],-1,0)+OFFSET(TblProd[[#This Row],[Gems/hr]],-1,0) - TblProd[[#This Row],[Expenses Gems]]</f>
        <v>0</v>
      </c>
      <c r="N136" s="113">
        <f ca="1">OFFSET(TblProd[[#This Row],[Boats]],-1,0)+OFFSET(TblProd[[#This Row],[Boats/hr]],-1,0)</f>
        <v>109</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2250</v>
      </c>
      <c r="Q136" s="113">
        <v>10000</v>
      </c>
      <c r="R136" s="184"/>
      <c r="S136" s="113">
        <f ca="1">ROUNDDOWN(TblProd[[#This Row],[Raw Plat/hr]]*(1+TblProd[[#This Row],[Bonus Plat/hr]]),0)</f>
        <v>0</v>
      </c>
      <c r="T136" s="113">
        <f ca="1">ROUND(TblProd[[#This Row],[Raw Food/hr]]*(1+TblProd[[#This Row],[Bonus Food/hr]])-TblProd[[#This Row],[Food decay]]-TblProd[[#This Row],[Food eaten]],0)</f>
        <v>-26</v>
      </c>
      <c r="U136" s="113">
        <f ca="1">ROUND(TblProd[[#This Row],[Raw Lumber/hr]]*(1+TblProd[[#This Row],[Bonus Lumber/hr]])-TblProd[[#This Row],[Lumber rot]],0)</f>
        <v>359</v>
      </c>
      <c r="V136" s="113">
        <f ca="1">ROUND(TblProd[[#This Row],[Raw Mana/hr]]*(1+TblProd[[#This Row],[Bonus Mana/hr]])-TblProd[[#This Row],[Mana drain]],0)</f>
        <v>-284</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3100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868.02</v>
      </c>
      <c r="AP136" s="113">
        <f ca="1">(1+race_food_consumption)*TblPop[[#This Row],[Total]]*food_per_person*(1+tech_1_10*TblTech[[#This Row],[1-10]]+tech_7_5*TblTech[[#This Row],[7-5]])</f>
        <v>2490.75</v>
      </c>
      <c r="AQ136" s="113">
        <f ca="1">TblProd[[#This Row],[Lumber]]*lumber_rot * (1 + tech_2_1*TblTech[[#This Row],[2-1]] + tech_2_8*TblTech[[#This Row],[2-8]] + tech_5_2*TblTech[[#This Row],[5-2]])</f>
        <v>640.74</v>
      </c>
      <c r="AR136" s="113">
        <f ca="1">TblProd[[#This Row],[Mana]]*mana_drain * (1 + tech_2_1*TblTech[[#This Row],[2-1]] + tech_2_8*TblTech[[#This Row],[2-8]])</f>
        <v>284.35000000000002</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44410.24999999968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1952831</v>
      </c>
      <c r="BJ136" s="113">
        <f ca="1">TblProd[[#This Row],[Food]]</f>
        <v>86802</v>
      </c>
      <c r="BK136" s="113">
        <f ca="1">TblProd[[#This Row],[Lumber]]</f>
        <v>64074</v>
      </c>
      <c r="BL136" s="113">
        <f ca="1">TblProd[[#This Row],[Mana]]</f>
        <v>14217.5</v>
      </c>
      <c r="BM136" s="113">
        <f ca="1">TblProd[[#This Row],[Ore]]</f>
        <v>127190</v>
      </c>
    </row>
    <row r="1269" spans="3:12" x14ac:dyDescent="0.2">
      <c r="C1269" s="585" t="s">
        <v>327</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2" priority="58" stopIfTrue="1">
      <formula>ROW()-2=#REF!</formula>
    </cfRule>
  </conditionalFormatting>
  <conditionalFormatting sqref="A1269:XFD1270">
    <cfRule type="expression" dxfId="791" priority="59" stopIfTrue="1">
      <formula>$C$1270&gt;144</formula>
    </cfRule>
  </conditionalFormatting>
  <conditionalFormatting sqref="E4:Q136">
    <cfRule type="expression" dxfId="790" priority="39" stopIfTrue="1">
      <formula>OR(ROW()-3=$C$1270,E4&lt;0)</formula>
    </cfRule>
  </conditionalFormatting>
  <conditionalFormatting sqref="BH4:BH136">
    <cfRule type="cellIs" dxfId="789" priority="61" stopIfTrue="1" operator="equal">
      <formula>"Nope"</formula>
    </cfRule>
  </conditionalFormatting>
  <conditionalFormatting sqref="A4:BM136">
    <cfRule type="expression" dxfId="788" priority="1" stopIfTrue="1">
      <formula>ROW()-3=$C$1270</formula>
    </cfRule>
    <cfRule type="expression" dxfId="787" priority="56">
      <formula>$A4="OOP"</formula>
    </cfRule>
    <cfRule type="expression" dxfId="786" priority="57">
      <formula>ROUND(($A4-1)/12,0)=INT($A4-1)/12</formula>
    </cfRule>
  </conditionalFormatting>
  <conditionalFormatting sqref="A1:XFD3">
    <cfRule type="expression" dxfId="785"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AC61" sqref="AC61"/>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64"/>
      <c r="R1" s="134"/>
      <c r="S1" s="134"/>
      <c r="T1" s="134"/>
      <c r="U1" s="134"/>
      <c r="V1" s="134"/>
      <c r="W1" s="134"/>
      <c r="X1" s="134"/>
      <c r="Y1" s="134"/>
      <c r="Z1" s="134"/>
      <c r="AA1" s="134"/>
      <c r="AB1" s="134"/>
      <c r="AC1" s="134"/>
      <c r="AD1" s="134"/>
      <c r="AE1" s="134"/>
      <c r="AF1" s="134"/>
      <c r="AG1" s="134"/>
      <c r="AH1" s="134"/>
      <c r="AI1" s="226" t="s">
        <v>530</v>
      </c>
      <c r="AJ1" s="226" t="s">
        <v>533</v>
      </c>
      <c r="AK1" s="590" t="s">
        <v>77</v>
      </c>
      <c r="AL1" s="590"/>
      <c r="AM1" s="589" t="s">
        <v>531</v>
      </c>
      <c r="AN1" s="589"/>
      <c r="AO1" s="589" t="s">
        <v>532</v>
      </c>
      <c r="AP1" s="589"/>
      <c r="AQ1" s="589" t="s">
        <v>529</v>
      </c>
      <c r="AR1" s="589"/>
      <c r="AS1" s="134"/>
      <c r="AT1" s="134"/>
      <c r="AU1" s="134"/>
      <c r="AV1" s="134" t="s">
        <v>528</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306</v>
      </c>
      <c r="DA1" s="590"/>
      <c r="DB1" s="590"/>
      <c r="DC1" s="590"/>
      <c r="DD1" s="590"/>
      <c r="DE1" s="134"/>
      <c r="DF1" s="134"/>
      <c r="DG1" s="590" t="s">
        <v>269</v>
      </c>
      <c r="DH1" s="590"/>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80</v>
      </c>
      <c r="C4" s="230">
        <f>SUM(TblConstr[[#This Row],[Tot Hom]:[Tot Doc]])</f>
        <v>90</v>
      </c>
      <c r="D4" s="230">
        <f>SUM(TblConstr[[#This Row],[Hom]:[Doc]])</f>
        <v>80</v>
      </c>
      <c r="E4" s="231"/>
      <c r="F4" s="74">
        <f ca="1">TblConstr[[#This Row],[Barren]]+TblConstr[[#This Row],[Buildings]]+TblConstr[[#This Row],[Incoming]]</f>
        <v>250</v>
      </c>
      <c r="G4" s="499">
        <f ca="1">start_plains+TblConstr[[#This Row],[Ch_Plain]]</f>
        <v>40</v>
      </c>
      <c r="H4" s="500">
        <f ca="1">start_forest+TblConstr[[#This Row],[Ch_Forest]]</f>
        <v>0</v>
      </c>
      <c r="I4" s="501">
        <f ca="1">start_mountains+TblConstr[[#This Row],[Ch_Mountain]]</f>
        <v>20</v>
      </c>
      <c r="J4" s="502">
        <f ca="1">start_hills+TblConstr[[#This Row],[Ch_Hill]]</f>
        <v>0</v>
      </c>
      <c r="K4" s="503">
        <f ca="1">start_swamp+TblConstr[[#This Row],[Ch_Swamp]]</f>
        <v>0</v>
      </c>
      <c r="L4" s="504">
        <f ca="1">start_caverns+TblConstr[[#This Row],[Ch_Cavern]]</f>
        <v>0</v>
      </c>
      <c r="M4" s="505">
        <f ca="1">start_water+TblConstr[[#This Row],[Ch_Water]]</f>
        <v>20</v>
      </c>
      <c r="N4" s="476">
        <f>TblRezone[[#This Row],[Hour]]</f>
        <v>1</v>
      </c>
      <c r="O4" s="232"/>
      <c r="P4" s="204"/>
      <c r="Q4" s="232"/>
      <c r="R4" s="232"/>
      <c r="S4" s="232"/>
      <c r="T4" s="232"/>
      <c r="U4" s="232"/>
      <c r="V4" s="232"/>
      <c r="W4" s="232"/>
      <c r="X4" s="204">
        <v>45</v>
      </c>
      <c r="Y4" s="232"/>
      <c r="Z4" s="232"/>
      <c r="AA4" s="232"/>
      <c r="AB4" s="232">
        <v>15</v>
      </c>
      <c r="AC4" s="204">
        <v>20</v>
      </c>
      <c r="AD4" s="232"/>
      <c r="AE4" s="232"/>
      <c r="AF4" s="232"/>
      <c r="AG4" s="204"/>
      <c r="AH4" s="233">
        <f>TblImps[[#This Row],[Time]]</f>
        <v>44404.75</v>
      </c>
      <c r="AI4" s="234">
        <f ca="1">MIN(25%,(TblConstr[[#This Row],[Tot Fac]]+TblConstr[[#This Row],[Dest Fac]])/(TblConstr[[#This Row],[Land]]-TblExplore[[#This Row],[Land Bonus]]*20))</f>
        <v>0</v>
      </c>
      <c r="AJ4" s="234">
        <f ca="1">MIN(25%,(TblConstr[[#This Row],[Tot Fac]]+TblConstr[[#This Row],[Dest Fac]])/TblConstr[[#This Row],[Land]])</f>
        <v>0</v>
      </c>
      <c r="AK4" s="113">
        <f ca="1">TblProd[[#This Row],[Platinum]]</f>
        <v>42000</v>
      </c>
      <c r="AL4" s="113">
        <f ca="1">TblProd[[#This Row],[Lumber]]</f>
        <v>7960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68000</v>
      </c>
      <c r="AR4" s="506">
        <f ca="1">SUM($O4:$AG4)*AN4</f>
        <v>7040</v>
      </c>
      <c r="AS4" s="497">
        <f>MIN(SUM(Constants!A29:G29)+SUM(TblConstr[[#This Row],[Dest Hom]:[Dest Doc]]),SUM(TblConstr[[#This Row],[Hom]:[Doc]]))</f>
        <v>80</v>
      </c>
      <c r="AT4" s="506">
        <f>IF(TblExplore[[#This Row],[Land Bonus]]&lt;&gt;0,MAX(0, MIN(20, 20 + SUM(TblConstr[[#This Row],[Hom]:[Doc]]) - SUM(TblConstr[[#This Row],[Dest Hom]:[Dest Doc]]) - SUM(Constants!A$29:G$29)-20*TblExplore[[#This Row],[Land Bonus]])),0)</f>
        <v>0</v>
      </c>
      <c r="AU4" s="184"/>
      <c r="AV4" s="113">
        <f ca="1">ROUND((MAX(TblConstr[[#This Row],[Buildings]],250,0.75*TblConstr[[#This Row],[Land]])-250) * 1.53 + 850,0)</f>
        <v>850</v>
      </c>
      <c r="AW4" s="113">
        <f ca="1">ROUND((MAX(TblConstr[[#This Row],[Buildings]],250,0.75*TblConstr[[#This Row],[Land]])-250)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44404.75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-20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-20</v>
      </c>
      <c r="CU4" s="238">
        <f ca="1">-SUM(TblConstr[[#This Row],[Tow]:[WG]])+SUM(TblConstr[[#This Row],[Dest Tow]:[Dest WG]]) +Rezone!P4 + IF("Ch_" &amp; home_land=TblConstr[[#Headers],[Ch_Swamp]],TblConstr[[#This Row],[Home Land]])+IF(TblConstr[[#This Row],[Hour]:[Hour]]&gt;12,OFFSET(TblExplore[[#This Row],[Swamp Explore]],-12,0),0)</f>
        <v>-20</v>
      </c>
      <c r="CV4" s="239">
        <f ca="1" xml:space="preserve"> - SUM(TblConstr[[#This Row],[DM]:[Sch]])+SUM(TblConstr[[#This Row],[Dest DM]:[Dest Sch]]) +Rezone!Q4 + IF("Ch_" &amp; home_land=TblConstr[[#Headers],[Ch_Cavern]],TblConstr[[#This Row],[Home Land]])+IF(TblConstr[[#This Row],[Hour]:[Hour]]&gt;12,OFFSET(TblExplore[[#This Row],[Cavern Explore]],-12,0),0)</f>
        <v>-20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20</v>
      </c>
      <c r="DB4" s="49">
        <f ca="1">I4+SUM(V$4:W4)+SUM(BF4:BG4)</f>
        <v>20</v>
      </c>
      <c r="DC4" s="113">
        <f ca="1">J4+SUM(X$4:Y4)+SUM(BH4:BI4)</f>
        <v>45</v>
      </c>
      <c r="DD4" s="113">
        <f ca="1">K4+SUM(AB$4:AD4)+SUM(BL4:BN4)</f>
        <v>35</v>
      </c>
      <c r="DE4" s="49">
        <f ca="1">L4+SUM(AE$4:AE4)+BO4</f>
        <v>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80</v>
      </c>
      <c r="C5" s="230">
        <f ca="1">SUM(TblConstr[[#This Row],[Tot Hom]:[Tot Doc]])</f>
        <v>90</v>
      </c>
      <c r="D5" s="230">
        <f>SUM(O$4:AG5)</f>
        <v>80</v>
      </c>
      <c r="E5" s="231"/>
      <c r="F5" s="74">
        <f ca="1">TblConstr[[#This Row],[Barren]]+TblConstr[[#This Row],[Buildings]]+TblConstr[[#This Row],[Incoming]]</f>
        <v>250</v>
      </c>
      <c r="G5" s="242">
        <f ca="1">OFFSET(TblConstr[[#This Row],[Plain]],-1,0)+TblConstr[[#This Row],[Ch_Plain]]</f>
        <v>40</v>
      </c>
      <c r="H5" s="236">
        <f ca="1">OFFSET(TblConstr[[#This Row],[Forest]],-1,0)+TblConstr[[#This Row],[Ch_Forest]]</f>
        <v>0</v>
      </c>
      <c r="I5" s="478">
        <f ca="1">OFFSET(TblConstr[[#This Row],[Mountain]],-1,0)+TblConstr[[#This Row],[Ch_Mountain]]</f>
        <v>20</v>
      </c>
      <c r="J5" s="482">
        <f ca="1">OFFSET(TblConstr[[#This Row],[Hill]],-1,0)+TblConstr[[#This Row],[Ch_Hill]]</f>
        <v>0</v>
      </c>
      <c r="K5" s="486">
        <f ca="1">OFFSET(TblConstr[[#This Row],[Swamp]],-1,0)+TblConstr[[#This Row],[Ch_Swamp]]</f>
        <v>0</v>
      </c>
      <c r="L5" s="239">
        <f ca="1">OFFSET(TblConstr[[#This Row],[Cavern]],-1,0)+TblConstr[[#This Row],[Ch_Cavern]]</f>
        <v>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44404.791666666664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46860</v>
      </c>
      <c r="AL5" s="113">
        <f ca="1">TblProd[[#This Row],[Lumber]]</f>
        <v>8880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44404.791666666664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20</v>
      </c>
      <c r="DB5" s="49">
        <f ca="1">I5+SUM(V$4:W5)+SUM(BF5:BG5)</f>
        <v>20</v>
      </c>
      <c r="DC5" s="113">
        <f ca="1">J5+SUM(X$4:Y5)+SUM(BH5:BI5)</f>
        <v>45</v>
      </c>
      <c r="DD5" s="113">
        <f ca="1">K5+SUM(AB$4:AD5)+SUM(BL5:BN5)</f>
        <v>35</v>
      </c>
      <c r="DE5" s="49">
        <f ca="1">L5+SUM(AE$4:AE5)+BO5</f>
        <v>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80</v>
      </c>
      <c r="C6" s="230">
        <f ca="1">SUM(TblConstr[[#This Row],[Tot Hom]:[Tot Doc]])</f>
        <v>90</v>
      </c>
      <c r="D6" s="230">
        <f>SUM(O$4:AG6)</f>
        <v>80</v>
      </c>
      <c r="E6" s="231"/>
      <c r="F6" s="74">
        <f ca="1">TblConstr[[#This Row],[Barren]]+TblConstr[[#This Row],[Buildings]]+TblConstr[[#This Row],[Incoming]]</f>
        <v>250</v>
      </c>
      <c r="G6" s="242">
        <f ca="1">OFFSET(TblConstr[[#This Row],[Plain]],-1,0)+TblConstr[[#This Row],[Ch_Plain]]</f>
        <v>40</v>
      </c>
      <c r="H6" s="236">
        <f ca="1">OFFSET(TblConstr[[#This Row],[Forest]],-1,0)+TblConstr[[#This Row],[Ch_Forest]]</f>
        <v>0</v>
      </c>
      <c r="I6" s="478">
        <f ca="1">OFFSET(TblConstr[[#This Row],[Mountain]],-1,0)+TblConstr[[#This Row],[Ch_Mountain]]</f>
        <v>20</v>
      </c>
      <c r="J6" s="482">
        <f ca="1">OFFSET(TblConstr[[#This Row],[Hill]],-1,0)+TblConstr[[#This Row],[Ch_Hill]]</f>
        <v>0</v>
      </c>
      <c r="K6" s="486">
        <f ca="1">OFFSET(TblConstr[[#This Row],[Swamp]],-1,0)+TblConstr[[#This Row],[Ch_Swamp]]</f>
        <v>0</v>
      </c>
      <c r="L6" s="239">
        <f ca="1">OFFSET(TblConstr[[#This Row],[Cavern]],-1,0)+TblConstr[[#This Row],[Ch_Cavern]]</f>
        <v>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44404.833333333328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51790</v>
      </c>
      <c r="AL6" s="113">
        <f ca="1">TblProd[[#This Row],[Lumber]]</f>
        <v>9791</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44404.833333333328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20</v>
      </c>
      <c r="DB6" s="49">
        <f ca="1">I6+SUM(V$4:W6)+SUM(BF6:BG6)</f>
        <v>20</v>
      </c>
      <c r="DC6" s="113">
        <f ca="1">J6+SUM(X$4:Y6)+SUM(BH6:BI6)</f>
        <v>45</v>
      </c>
      <c r="DD6" s="113">
        <f ca="1">K6+SUM(AB$4:AD6)+SUM(BL6:BN6)</f>
        <v>35</v>
      </c>
      <c r="DE6" s="49">
        <f ca="1">L6+SUM(AE$4:AE6)+BO6</f>
        <v>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80</v>
      </c>
      <c r="C7" s="230">
        <f ca="1">SUM(TblConstr[[#This Row],[Tot Hom]:[Tot Doc]])</f>
        <v>90</v>
      </c>
      <c r="D7" s="230">
        <f>SUM(O$4:AG7)</f>
        <v>80</v>
      </c>
      <c r="E7" s="231"/>
      <c r="F7" s="74">
        <f ca="1">TblConstr[[#This Row],[Barren]]+TblConstr[[#This Row],[Buildings]]+TblConstr[[#This Row],[Incoming]]</f>
        <v>250</v>
      </c>
      <c r="G7" s="242">
        <f ca="1">OFFSET(TblConstr[[#This Row],[Plain]],-1,0)+TblConstr[[#This Row],[Ch_Plain]]</f>
        <v>40</v>
      </c>
      <c r="H7" s="236">
        <f ca="1">OFFSET(TblConstr[[#This Row],[Forest]],-1,0)+TblConstr[[#This Row],[Ch_Forest]]</f>
        <v>0</v>
      </c>
      <c r="I7" s="478">
        <f ca="1">OFFSET(TblConstr[[#This Row],[Mountain]],-1,0)+TblConstr[[#This Row],[Ch_Mountain]]</f>
        <v>20</v>
      </c>
      <c r="J7" s="482">
        <f ca="1">OFFSET(TblConstr[[#This Row],[Hill]],-1,0)+TblConstr[[#This Row],[Ch_Hill]]</f>
        <v>0</v>
      </c>
      <c r="K7" s="486">
        <f ca="1">OFFSET(TblConstr[[#This Row],[Swamp]],-1,0)+TblConstr[[#This Row],[Ch_Swamp]]</f>
        <v>0</v>
      </c>
      <c r="L7" s="239">
        <f ca="1">OFFSET(TblConstr[[#This Row],[Cavern]],-1,0)+TblConstr[[#This Row],[Ch_Cavern]]</f>
        <v>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44404.874999999993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56790</v>
      </c>
      <c r="AL7" s="113">
        <f ca="1">TblProd[[#This Row],[Lumber]]</f>
        <v>10693</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44404.874999999993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20</v>
      </c>
      <c r="DB7" s="49">
        <f ca="1">I7+SUM(V$4:W7)+SUM(BF7:BG7)</f>
        <v>20</v>
      </c>
      <c r="DC7" s="113">
        <f ca="1">J7+SUM(X$4:Y7)+SUM(BH7:BI7)</f>
        <v>45</v>
      </c>
      <c r="DD7" s="113">
        <f ca="1">K7+SUM(AB$4:AD7)+SUM(BL7:BN7)</f>
        <v>35</v>
      </c>
      <c r="DE7" s="49">
        <f ca="1">L7+SUM(AE$4:AE7)+BO7</f>
        <v>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80</v>
      </c>
      <c r="C8" s="230">
        <f ca="1">SUM(TblConstr[[#This Row],[Tot Hom]:[Tot Doc]])</f>
        <v>90</v>
      </c>
      <c r="D8" s="230">
        <f>SUM(O$4:AG8)</f>
        <v>80</v>
      </c>
      <c r="E8" s="231"/>
      <c r="F8" s="74">
        <f ca="1">TblConstr[[#This Row],[Barren]]+TblConstr[[#This Row],[Buildings]]+TblConstr[[#This Row],[Incoming]]</f>
        <v>250</v>
      </c>
      <c r="G8" s="242">
        <f ca="1">OFFSET(TblConstr[[#This Row],[Plain]],-1,0)+TblConstr[[#This Row],[Ch_Plain]]</f>
        <v>40</v>
      </c>
      <c r="H8" s="236">
        <f ca="1">OFFSET(TblConstr[[#This Row],[Forest]],-1,0)+TblConstr[[#This Row],[Ch_Forest]]</f>
        <v>0</v>
      </c>
      <c r="I8" s="478">
        <f ca="1">OFFSET(TblConstr[[#This Row],[Mountain]],-1,0)+TblConstr[[#This Row],[Ch_Mountain]]</f>
        <v>20</v>
      </c>
      <c r="J8" s="482">
        <f ca="1">OFFSET(TblConstr[[#This Row],[Hill]],-1,0)+TblConstr[[#This Row],[Ch_Hill]]</f>
        <v>0</v>
      </c>
      <c r="K8" s="486">
        <f ca="1">OFFSET(TblConstr[[#This Row],[Swamp]],-1,0)+TblConstr[[#This Row],[Ch_Swamp]]</f>
        <v>0</v>
      </c>
      <c r="L8" s="239">
        <f ca="1">OFFSET(TblConstr[[#This Row],[Cavern]],-1,0)+TblConstr[[#This Row],[Ch_Cavern]]</f>
        <v>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44404.916666666657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61860</v>
      </c>
      <c r="AL8" s="113">
        <f ca="1">TblProd[[#This Row],[Lumber]]</f>
        <v>11586</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44404.916666666657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20</v>
      </c>
      <c r="DB8" s="49">
        <f ca="1">I8+SUM(V$4:W8)+SUM(BF8:BG8)</f>
        <v>20</v>
      </c>
      <c r="DC8" s="113">
        <f ca="1">J8+SUM(X$4:Y8)+SUM(BH8:BI8)</f>
        <v>45</v>
      </c>
      <c r="DD8" s="113">
        <f ca="1">K8+SUM(AB$4:AD8)+SUM(BL8:BN8)</f>
        <v>35</v>
      </c>
      <c r="DE8" s="49">
        <f ca="1">L8+SUM(AE$4:AE8)+BO8</f>
        <v>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80</v>
      </c>
      <c r="C9" s="230">
        <f ca="1">SUM(TblConstr[[#This Row],[Tot Hom]:[Tot Doc]])</f>
        <v>90</v>
      </c>
      <c r="D9" s="230">
        <f>SUM(O$4:AG9)</f>
        <v>80</v>
      </c>
      <c r="E9" s="231"/>
      <c r="F9" s="74">
        <f ca="1">TblConstr[[#This Row],[Barren]]+TblConstr[[#This Row],[Buildings]]+TblConstr[[#This Row],[Incoming]]</f>
        <v>250</v>
      </c>
      <c r="G9" s="242">
        <f ca="1">OFFSET(TblConstr[[#This Row],[Plain]],-1,0)+TblConstr[[#This Row],[Ch_Plain]]</f>
        <v>40</v>
      </c>
      <c r="H9" s="236">
        <f ca="1">OFFSET(TblConstr[[#This Row],[Forest]],-1,0)+TblConstr[[#This Row],[Ch_Forest]]</f>
        <v>0</v>
      </c>
      <c r="I9" s="478">
        <f ca="1">OFFSET(TblConstr[[#This Row],[Mountain]],-1,0)+TblConstr[[#This Row],[Ch_Mountain]]</f>
        <v>20</v>
      </c>
      <c r="J9" s="482">
        <f ca="1">OFFSET(TblConstr[[#This Row],[Hill]],-1,0)+TblConstr[[#This Row],[Ch_Hill]]</f>
        <v>0</v>
      </c>
      <c r="K9" s="486">
        <f ca="1">OFFSET(TblConstr[[#This Row],[Swamp]],-1,0)+TblConstr[[#This Row],[Ch_Swamp]]</f>
        <v>0</v>
      </c>
      <c r="L9" s="239">
        <f ca="1">OFFSET(TblConstr[[#This Row],[Cavern]],-1,0)+TblConstr[[#This Row],[Ch_Cavern]]</f>
        <v>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44404.958333333321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67003</v>
      </c>
      <c r="AL9" s="113">
        <f ca="1">TblProd[[#This Row],[Lumber]]</f>
        <v>12470</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44404.958333333321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20</v>
      </c>
      <c r="DB9" s="49">
        <f ca="1">I9+SUM(V$4:W9)+SUM(BF9:BG9)</f>
        <v>20</v>
      </c>
      <c r="DC9" s="113">
        <f ca="1">J9+SUM(X$4:Y9)+SUM(BH9:BI9)</f>
        <v>45</v>
      </c>
      <c r="DD9" s="113">
        <f ca="1">K9+SUM(AB$4:AD9)+SUM(BL9:BN9)</f>
        <v>35</v>
      </c>
      <c r="DE9" s="49">
        <f ca="1">L9+SUM(AE$4:AE9)+BO9</f>
        <v>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80</v>
      </c>
      <c r="C10" s="230">
        <f ca="1">SUM(TblConstr[[#This Row],[Tot Hom]:[Tot Doc]])</f>
        <v>90</v>
      </c>
      <c r="D10" s="230">
        <f>SUM(O$4:AG10)</f>
        <v>80</v>
      </c>
      <c r="E10" s="231"/>
      <c r="F10" s="74">
        <f ca="1">TblConstr[[#This Row],[Barren]]+TblConstr[[#This Row],[Buildings]]+TblConstr[[#This Row],[Incoming]]</f>
        <v>250</v>
      </c>
      <c r="G10" s="242">
        <f ca="1">OFFSET(TblConstr[[#This Row],[Plain]],-1,0)+TblConstr[[#This Row],[Ch_Plain]]</f>
        <v>40</v>
      </c>
      <c r="H10" s="236">
        <f ca="1">OFFSET(TblConstr[[#This Row],[Forest]],-1,0)+TblConstr[[#This Row],[Ch_Forest]]</f>
        <v>0</v>
      </c>
      <c r="I10" s="478">
        <f ca="1">OFFSET(TblConstr[[#This Row],[Mountain]],-1,0)+TblConstr[[#This Row],[Ch_Mountain]]</f>
        <v>20</v>
      </c>
      <c r="J10" s="482">
        <f ca="1">OFFSET(TblConstr[[#This Row],[Hill]],-1,0)+TblConstr[[#This Row],[Ch_Hill]]</f>
        <v>0</v>
      </c>
      <c r="K10" s="486">
        <f ca="1">OFFSET(TblConstr[[#This Row],[Swamp]],-1,0)+TblConstr[[#This Row],[Ch_Swamp]]</f>
        <v>0</v>
      </c>
      <c r="L10" s="239">
        <f ca="1">OFFSET(TblConstr[[#This Row],[Cavern]],-1,0)+TblConstr[[#This Row],[Ch_Cavern]]</f>
        <v>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44404.999999999985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72222</v>
      </c>
      <c r="AL10" s="113">
        <f ca="1">TblProd[[#This Row],[Lumber]]</f>
        <v>13345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44404.999999999985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20</v>
      </c>
      <c r="DB10" s="49">
        <f ca="1">I10+SUM(V$4:W10)+SUM(BF10:BG10)</f>
        <v>20</v>
      </c>
      <c r="DC10" s="113">
        <f ca="1">J10+SUM(X$4:Y10)+SUM(BH10:BI10)</f>
        <v>45</v>
      </c>
      <c r="DD10" s="113">
        <f ca="1">K10+SUM(AB$4:AD10)+SUM(BL10:BN10)</f>
        <v>35</v>
      </c>
      <c r="DE10" s="49">
        <f ca="1">L10+SUM(AE$4:AE10)+BO10</f>
        <v>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80</v>
      </c>
      <c r="C11" s="230">
        <f ca="1">SUM(TblConstr[[#This Row],[Tot Hom]:[Tot Doc]])</f>
        <v>90</v>
      </c>
      <c r="D11" s="230">
        <f>SUM(O$4:AG11)</f>
        <v>80</v>
      </c>
      <c r="E11" s="231"/>
      <c r="F11" s="74">
        <f ca="1">TblConstr[[#This Row],[Barren]]+TblConstr[[#This Row],[Buildings]]+TblConstr[[#This Row],[Incoming]]</f>
        <v>250</v>
      </c>
      <c r="G11" s="242">
        <f ca="1">OFFSET(TblConstr[[#This Row],[Plain]],-1,0)+TblConstr[[#This Row],[Ch_Plain]]</f>
        <v>40</v>
      </c>
      <c r="H11" s="236">
        <f ca="1">OFFSET(TblConstr[[#This Row],[Forest]],-1,0)+TblConstr[[#This Row],[Ch_Forest]]</f>
        <v>0</v>
      </c>
      <c r="I11" s="478">
        <f ca="1">OFFSET(TblConstr[[#This Row],[Mountain]],-1,0)+TblConstr[[#This Row],[Ch_Mountain]]</f>
        <v>20</v>
      </c>
      <c r="J11" s="482">
        <f ca="1">OFFSET(TblConstr[[#This Row],[Hill]],-1,0)+TblConstr[[#This Row],[Ch_Hill]]</f>
        <v>0</v>
      </c>
      <c r="K11" s="486">
        <f ca="1">OFFSET(TblConstr[[#This Row],[Swamp]],-1,0)+TblConstr[[#This Row],[Ch_Swamp]]</f>
        <v>0</v>
      </c>
      <c r="L11" s="239">
        <f ca="1">OFFSET(TblConstr[[#This Row],[Cavern]],-1,0)+TblConstr[[#This Row],[Ch_Cavern]]</f>
        <v>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44405.04166666665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77519</v>
      </c>
      <c r="AL11" s="113">
        <f ca="1">TblProd[[#This Row],[Lumber]]</f>
        <v>14212</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44405.04166666665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20</v>
      </c>
      <c r="DB11" s="49">
        <f ca="1">I11+SUM(V$4:W11)+SUM(BF11:BG11)</f>
        <v>20</v>
      </c>
      <c r="DC11" s="113">
        <f ca="1">J11+SUM(X$4:Y11)+SUM(BH11:BI11)</f>
        <v>45</v>
      </c>
      <c r="DD11" s="113">
        <f ca="1">K11+SUM(AB$4:AD11)+SUM(BL11:BN11)</f>
        <v>35</v>
      </c>
      <c r="DE11" s="49">
        <f ca="1">L11+SUM(AE$4:AE11)+BO11</f>
        <v>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80</v>
      </c>
      <c r="C12" s="230">
        <f ca="1">SUM(TblConstr[[#This Row],[Tot Hom]:[Tot Doc]])</f>
        <v>90</v>
      </c>
      <c r="D12" s="230">
        <f>SUM(O$4:AG12)</f>
        <v>80</v>
      </c>
      <c r="E12" s="231"/>
      <c r="F12" s="74">
        <f ca="1">TblConstr[[#This Row],[Barren]]+TblConstr[[#This Row],[Buildings]]+TblConstr[[#This Row],[Incoming]]</f>
        <v>250</v>
      </c>
      <c r="G12" s="242">
        <f ca="1">OFFSET(TblConstr[[#This Row],[Plain]],-1,0)+TblConstr[[#This Row],[Ch_Plain]]</f>
        <v>40</v>
      </c>
      <c r="H12" s="236">
        <f ca="1">OFFSET(TblConstr[[#This Row],[Forest]],-1,0)+TblConstr[[#This Row],[Ch_Forest]]</f>
        <v>0</v>
      </c>
      <c r="I12" s="478">
        <f ca="1">OFFSET(TblConstr[[#This Row],[Mountain]],-1,0)+TblConstr[[#This Row],[Ch_Mountain]]</f>
        <v>20</v>
      </c>
      <c r="J12" s="482">
        <f ca="1">OFFSET(TblConstr[[#This Row],[Hill]],-1,0)+TblConstr[[#This Row],[Ch_Hill]]</f>
        <v>0</v>
      </c>
      <c r="K12" s="486">
        <f ca="1">OFFSET(TblConstr[[#This Row],[Swamp]],-1,0)+TblConstr[[#This Row],[Ch_Swamp]]</f>
        <v>0</v>
      </c>
      <c r="L12" s="239">
        <f ca="1">OFFSET(TblConstr[[#This Row],[Cavern]],-1,0)+TblConstr[[#This Row],[Ch_Cavern]]</f>
        <v>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44405.083333333314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82892</v>
      </c>
      <c r="AL12" s="113">
        <f ca="1">TblProd[[#This Row],[Lumber]]</f>
        <v>15070</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44405.083333333314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20</v>
      </c>
      <c r="DB12" s="49">
        <f ca="1">I12+SUM(V$4:W12)+SUM(BF12:BG12)</f>
        <v>20</v>
      </c>
      <c r="DC12" s="113">
        <f ca="1">J12+SUM(X$4:Y12)+SUM(BH12:BI12)</f>
        <v>45</v>
      </c>
      <c r="DD12" s="113">
        <f ca="1">K12+SUM(AB$4:AD12)+SUM(BL12:BN12)</f>
        <v>35</v>
      </c>
      <c r="DE12" s="49">
        <f ca="1">L12+SUM(AE$4:AE12)+BO12</f>
        <v>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80</v>
      </c>
      <c r="C13" s="230">
        <f ca="1">SUM(TblConstr[[#This Row],[Tot Hom]:[Tot Doc]])</f>
        <v>90</v>
      </c>
      <c r="D13" s="230">
        <f>SUM(O$4:AG13)</f>
        <v>80</v>
      </c>
      <c r="E13" s="231"/>
      <c r="F13" s="74">
        <f ca="1">TblConstr[[#This Row],[Barren]]+TblConstr[[#This Row],[Buildings]]+TblConstr[[#This Row],[Incoming]]</f>
        <v>250</v>
      </c>
      <c r="G13" s="242">
        <f ca="1">OFFSET(TblConstr[[#This Row],[Plain]],-1,0)+TblConstr[[#This Row],[Ch_Plain]]</f>
        <v>40</v>
      </c>
      <c r="H13" s="236">
        <f ca="1">OFFSET(TblConstr[[#This Row],[Forest]],-1,0)+TblConstr[[#This Row],[Ch_Forest]]</f>
        <v>0</v>
      </c>
      <c r="I13" s="478">
        <f ca="1">OFFSET(TblConstr[[#This Row],[Mountain]],-1,0)+TblConstr[[#This Row],[Ch_Mountain]]</f>
        <v>20</v>
      </c>
      <c r="J13" s="482">
        <f ca="1">OFFSET(TblConstr[[#This Row],[Hill]],-1,0)+TblConstr[[#This Row],[Ch_Hill]]</f>
        <v>0</v>
      </c>
      <c r="K13" s="486">
        <f ca="1">OFFSET(TblConstr[[#This Row],[Swamp]],-1,0)+TblConstr[[#This Row],[Ch_Swamp]]</f>
        <v>0</v>
      </c>
      <c r="L13" s="239">
        <f ca="1">OFFSET(TblConstr[[#This Row],[Cavern]],-1,0)+TblConstr[[#This Row],[Ch_Cavern]]</f>
        <v>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44405.124999999978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88343</v>
      </c>
      <c r="AL13" s="113">
        <f ca="1">TblProd[[#This Row],[Lumber]]</f>
        <v>15919</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44405.124999999978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20</v>
      </c>
      <c r="DB13" s="49">
        <f ca="1">I13+SUM(V$4:W13)+SUM(BF13:BG13)</f>
        <v>20</v>
      </c>
      <c r="DC13" s="113">
        <f ca="1">J13+SUM(X$4:Y13)+SUM(BH13:BI13)</f>
        <v>45</v>
      </c>
      <c r="DD13" s="113">
        <f ca="1">K13+SUM(AB$4:AD13)+SUM(BL13:BN13)</f>
        <v>35</v>
      </c>
      <c r="DE13" s="49">
        <f ca="1">L13+SUM(AE$4:AE13)+BO13</f>
        <v>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80</v>
      </c>
      <c r="C14" s="230">
        <f ca="1">SUM(TblConstr[[#This Row],[Tot Hom]:[Tot Doc]])</f>
        <v>90</v>
      </c>
      <c r="D14" s="230">
        <f>SUM(O$4:AG14)</f>
        <v>80</v>
      </c>
      <c r="E14" s="231"/>
      <c r="F14" s="74">
        <f ca="1">TblConstr[[#This Row],[Barren]]+TblConstr[[#This Row],[Buildings]]+TblConstr[[#This Row],[Incoming]]</f>
        <v>250</v>
      </c>
      <c r="G14" s="242">
        <f ca="1">OFFSET(TblConstr[[#This Row],[Plain]],-1,0)+TblConstr[[#This Row],[Ch_Plain]]</f>
        <v>40</v>
      </c>
      <c r="H14" s="236">
        <f ca="1">OFFSET(TblConstr[[#This Row],[Forest]],-1,0)+TblConstr[[#This Row],[Ch_Forest]]</f>
        <v>0</v>
      </c>
      <c r="I14" s="478">
        <f ca="1">OFFSET(TblConstr[[#This Row],[Mountain]],-1,0)+TblConstr[[#This Row],[Ch_Mountain]]</f>
        <v>20</v>
      </c>
      <c r="J14" s="482">
        <f ca="1">OFFSET(TblConstr[[#This Row],[Hill]],-1,0)+TblConstr[[#This Row],[Ch_Hill]]</f>
        <v>0</v>
      </c>
      <c r="K14" s="486">
        <f ca="1">OFFSET(TblConstr[[#This Row],[Swamp]],-1,0)+TblConstr[[#This Row],[Ch_Swamp]]</f>
        <v>0</v>
      </c>
      <c r="L14" s="239">
        <f ca="1">OFFSET(TblConstr[[#This Row],[Cavern]],-1,0)+TblConstr[[#This Row],[Ch_Cavern]]</f>
        <v>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44405.166666666642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93875</v>
      </c>
      <c r="AL14" s="113">
        <f ca="1">TblProd[[#This Row],[Lumber]]</f>
        <v>16760</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44405.166666666642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20</v>
      </c>
      <c r="DB14" s="49">
        <f ca="1">I14+SUM(V$4:W14)+SUM(BF14:BG14)</f>
        <v>20</v>
      </c>
      <c r="DC14" s="113">
        <f ca="1">J14+SUM(X$4:Y14)+SUM(BH14:BI14)</f>
        <v>45</v>
      </c>
      <c r="DD14" s="113">
        <f ca="1">K14+SUM(AB$4:AD14)+SUM(BL14:BN14)</f>
        <v>35</v>
      </c>
      <c r="DE14" s="49">
        <f ca="1">L14+SUM(AE$4:AE14)+BO14</f>
        <v>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80</v>
      </c>
      <c r="C15" s="230">
        <f ca="1">SUM(TblConstr[[#This Row],[Tot Hom]:[Tot Doc]])</f>
        <v>90</v>
      </c>
      <c r="D15" s="230">
        <f>SUM(O$4:AG15)</f>
        <v>80</v>
      </c>
      <c r="E15" s="231"/>
      <c r="F15" s="74">
        <f ca="1">TblConstr[[#This Row],[Barren]]+TblConstr[[#This Row],[Buildings]]+TblConstr[[#This Row],[Incoming]]</f>
        <v>250</v>
      </c>
      <c r="G15" s="242">
        <f ca="1">OFFSET(TblConstr[[#This Row],[Plain]],-1,0)+TblConstr[[#This Row],[Ch_Plain]]</f>
        <v>40</v>
      </c>
      <c r="H15" s="236">
        <f ca="1">OFFSET(TblConstr[[#This Row],[Forest]],-1,0)+TblConstr[[#This Row],[Ch_Forest]]</f>
        <v>0</v>
      </c>
      <c r="I15" s="478">
        <f ca="1">OFFSET(TblConstr[[#This Row],[Mountain]],-1,0)+TblConstr[[#This Row],[Ch_Mountain]]</f>
        <v>20</v>
      </c>
      <c r="J15" s="482">
        <f ca="1">OFFSET(TblConstr[[#This Row],[Hill]],-1,0)+TblConstr[[#This Row],[Ch_Hill]]</f>
        <v>0</v>
      </c>
      <c r="K15" s="486">
        <f ca="1">OFFSET(TblConstr[[#This Row],[Swamp]],-1,0)+TblConstr[[#This Row],[Ch_Swamp]]</f>
        <v>0</v>
      </c>
      <c r="L15" s="239">
        <f ca="1">OFFSET(TblConstr[[#This Row],[Cavern]],-1,0)+TblConstr[[#This Row],[Ch_Cavern]]</f>
        <v>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44405.208333333307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99491</v>
      </c>
      <c r="AL15" s="113">
        <f ca="1">TblProd[[#This Row],[Lumber]]</f>
        <v>17592</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44405.208333333307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20</v>
      </c>
      <c r="DB15" s="49">
        <f ca="1">I15+SUM(V$4:W15)+SUM(BF15:BG15)</f>
        <v>20</v>
      </c>
      <c r="DC15" s="113">
        <f ca="1">J15+SUM(X$4:Y15)+SUM(BH15:BI15)</f>
        <v>45</v>
      </c>
      <c r="DD15" s="113">
        <f ca="1">K15+SUM(AB$4:AD15)+SUM(BL15:BN15)</f>
        <v>35</v>
      </c>
      <c r="DE15" s="49">
        <f ca="1">L15+SUM(AE$4:AE15)+BO15</f>
        <v>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0</v>
      </c>
      <c r="C16" s="230">
        <f ca="1">SUM(TblConstr[[#This Row],[Tot Hom]:[Tot Doc]])</f>
        <v>170</v>
      </c>
      <c r="D16" s="230">
        <f t="shared" ref="D16:D46" si="2">SUM(O5:AG16)</f>
        <v>80</v>
      </c>
      <c r="E16" s="231"/>
      <c r="F16" s="74">
        <f ca="1">TblConstr[[#This Row],[Barren]]+TblConstr[[#This Row],[Buildings]]+TblConstr[[#This Row],[Incoming]]</f>
        <v>250</v>
      </c>
      <c r="G16" s="242">
        <f ca="1">OFFSET(TblConstr[[#This Row],[Plain]],-1,0)+TblConstr[[#This Row],[Ch_Plain]]</f>
        <v>0</v>
      </c>
      <c r="H16" s="236">
        <f ca="1">OFFSET(TblConstr[[#This Row],[Forest]],-1,0)+TblConstr[[#This Row],[Ch_Forest]]</f>
        <v>0</v>
      </c>
      <c r="I16" s="478">
        <f ca="1">OFFSET(TblConstr[[#This Row],[Mountain]],-1,0)+TblConstr[[#This Row],[Ch_Mountain]]</f>
        <v>0</v>
      </c>
      <c r="J16" s="482">
        <f ca="1">OFFSET(TblConstr[[#This Row],[Hill]],-1,0)+TblConstr[[#This Row],[Ch_Hill]]</f>
        <v>0</v>
      </c>
      <c r="K16" s="486">
        <f ca="1">OFFSET(TblConstr[[#This Row],[Swamp]],-1,0)+TblConstr[[#This Row],[Ch_Swamp]]</f>
        <v>0</v>
      </c>
      <c r="L16" s="239">
        <f ca="1">OFFSET(TblConstr[[#This Row],[Cavern]],-1,0)+TblConstr[[#This Row],[Ch_Cavern]]</f>
        <v>0</v>
      </c>
      <c r="M16" s="240">
        <f ca="1">OFFSET(TblConstr[[#This Row],[Water]],-1,0)+TblConstr[[#This Row],[Ch_Water]]</f>
        <v>0</v>
      </c>
      <c r="N16" s="476">
        <f>TblRezone[[#This Row],[Hour]]</f>
        <v>13</v>
      </c>
      <c r="O16" s="232"/>
      <c r="P16" s="204">
        <v>40</v>
      </c>
      <c r="Q16" s="232"/>
      <c r="R16" s="232"/>
      <c r="S16" s="232"/>
      <c r="T16" s="232"/>
      <c r="U16" s="232"/>
      <c r="V16" s="204">
        <v>20</v>
      </c>
      <c r="W16" s="232"/>
      <c r="X16" s="204"/>
      <c r="Y16" s="232"/>
      <c r="Z16" s="232"/>
      <c r="AA16" s="232"/>
      <c r="AB16" s="232"/>
      <c r="AC16" s="232"/>
      <c r="AD16" s="232"/>
      <c r="AE16" s="232"/>
      <c r="AF16" s="232"/>
      <c r="AG16" s="204">
        <v>20</v>
      </c>
      <c r="AH16" s="233">
        <f ca="1">TblImps[[#This Row],[Time]]</f>
        <v>44405.249999999971</v>
      </c>
      <c r="AI16" s="234">
        <f ca="1">MIN(25%,(TblConstr[[#This Row],[Tot Fac]]+TblConstr[[#This Row],[Dest Fac]])/(TblConstr[[#This Row],[Land]]-TblExplore[[#This Row],[Land Bonus]]*20))</f>
        <v>0.18</v>
      </c>
      <c r="AJ16" s="234">
        <f ca="1">MIN(25%,(TblConstr[[#This Row],[Tot Fac]]+TblConstr[[#This Row],[Dest Fac]])/TblConstr[[#This Row],[Land]])</f>
        <v>0.18</v>
      </c>
      <c r="AK16" s="113">
        <f ca="1">TblProd[[#This Row],[Platinum]]</f>
        <v>53340</v>
      </c>
      <c r="AL16" s="113">
        <f ca="1">TblProd[[#This Row],[Lumber]]</f>
        <v>15616</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113">
        <f ca="1">ROUNDDOWN( MAX(1 - MIN(facs_constr_factor*TblConstr[[#This Row],[Facs -DB]],facs_constr_max) + tech_1_11*TblTech[[#This Row],[11-1]] + tech_6_3_2*TblTech[[#This Row],[6-3]] + tech_5_2_3*TblTech[[#This Row],[5-2]], 1-global_constr_cap) * TblConstr[[#This Row],[RCPA Lumber]],0)</f>
        <v>35</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6" s="113">
        <f ca="1">ROUNDDOWN( MAX(1 - MIN(facs_constr_factor*TblConstr[[#This Row],[Facs DB]],facs_constr_max) + tech_1_11*TblTech[[#This Row],[1-11]] + tech_6_3_2*TblTech[[#This Row],[6-3]] + tech_5_2_3*TblTech[[#This Row],[5-2]], 1-global_constr_cap) * TblConstr[[#This Row],[RCPA Lumber]],0)</f>
        <v>35</v>
      </c>
      <c r="AQ16" s="49">
        <f ca="1">TblConstr[[#This Row],[build -db]]*TblConstr[[#This Row],[CPA Platinum -DB]] + TblConstr[[#This Row],[build db]]*TblConstr[[#This Row],[CPA Platinum DB]]</f>
        <v>27200</v>
      </c>
      <c r="AR16" s="49">
        <f ca="1">TblConstr[[#This Row],[build -db]]*TblConstr[[#This Row],[CPA Lumber -DB]]+TblConstr[[#This Row],[build db]]*TblConstr[[#This Row],[CPA Lumber DB]]</f>
        <v>2800</v>
      </c>
      <c r="AS16" s="113">
        <f ca="1">MIN(SUM(OFFSET(TblConstr[[#This Row],[Plain]:[Water]],-1,0))+SUM(TblConstr[[#This Row],[Dest Hom]:[Dest Doc]])+IF(TblConstr[[#This Row],[Hour]]&gt;12,SUM(OFFSET(TblExplore[[#This Row],[Plains Explore]:[Water Explore]],-12,0)),0),SUM(TblConstr[[#This Row],[Hom]:[Doc]]))</f>
        <v>80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45</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15</v>
      </c>
      <c r="BM16" s="488" cm="1">
        <f t="array" aca="1" ref="BM16" ca="1">IF(TblConstr[[#This Row],[Hour]:[Hour]]&gt;12,OFFSET(TblConstr[[#This Row],[Tem]],-12,0),0)+OFFSET(TblConstr[[#This Row],[Tot Tem]],-1,0)-TblConstr[[#This Row],[Dest Tem]]</f>
        <v>20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44405.249999999971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-40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-20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-20</v>
      </c>
      <c r="CX16" s="49">
        <f>IF(Explore!S16=1,20) - TblConstr[[#This Row],[Hom]] + TblConstr[[#This Row],[Dest Hom]]</f>
        <v>0</v>
      </c>
      <c r="CY16" s="184"/>
      <c r="CZ16" s="113">
        <f t="shared" ref="CZ16:CZ47" ca="1" si="3">G16+SUM(P5:S16)+SUM(AZ16:BC16)</f>
        <v>100</v>
      </c>
      <c r="DA16" s="113">
        <f t="shared" ref="DA16:DA47" ca="1" si="4">H16+SUM(T5:U16)+SUM(BD16:BE16)</f>
        <v>20</v>
      </c>
      <c r="DB16" s="49">
        <f t="shared" ref="DB16:DB47" ca="1" si="5">I16+SUM(V5:W16)+SUM(BF16:BG16)</f>
        <v>20</v>
      </c>
      <c r="DC16" s="113">
        <f t="shared" ref="DC16:DC47" ca="1" si="6">J16+SUM(X5:Y16)+SUM(BH16:BI16)</f>
        <v>45</v>
      </c>
      <c r="DD16" s="113">
        <f t="shared" ref="DD16:DD47" ca="1" si="7">K16+SUM(AB5:AD16)+SUM(BL16:BN16)</f>
        <v>35</v>
      </c>
      <c r="DE16" s="49">
        <f t="shared" ref="DE16:DE47" ca="1" si="8">L16+SUM(AE5:AE16)+BO16</f>
        <v>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0</v>
      </c>
      <c r="C17" s="230">
        <f ca="1">SUM(TblConstr[[#This Row],[Tot Hom]:[Tot Doc]])</f>
        <v>170</v>
      </c>
      <c r="D17" s="230">
        <f t="shared" si="2"/>
        <v>80</v>
      </c>
      <c r="E17" s="231"/>
      <c r="F17" s="74">
        <f ca="1">TblConstr[[#This Row],[Barren]]+TblConstr[[#This Row],[Buildings]]+TblConstr[[#This Row],[Incoming]]</f>
        <v>250</v>
      </c>
      <c r="G17" s="242">
        <f ca="1">OFFSET(TblConstr[[#This Row],[Plain]],-1,0)+TblConstr[[#This Row],[Ch_Plain]]</f>
        <v>0</v>
      </c>
      <c r="H17" s="236">
        <f ca="1">OFFSET(TblConstr[[#This Row],[Forest]],-1,0)+TblConstr[[#This Row],[Ch_Forest]]</f>
        <v>0</v>
      </c>
      <c r="I17" s="478">
        <f ca="1">OFFSET(TblConstr[[#This Row],[Mountain]],-1,0)+TblConstr[[#This Row],[Ch_Mountain]]</f>
        <v>0</v>
      </c>
      <c r="J17" s="482">
        <f ca="1">OFFSET(TblConstr[[#This Row],[Hill]],-1,0)+TblConstr[[#This Row],[Ch_Hill]]</f>
        <v>0</v>
      </c>
      <c r="K17" s="486">
        <f ca="1">OFFSET(TblConstr[[#This Row],[Swamp]],-1,0)+TblConstr[[#This Row],[Ch_Swamp]]</f>
        <v>0</v>
      </c>
      <c r="L17" s="239">
        <f ca="1">OFFSET(TblConstr[[#This Row],[Cavern]],-1,0)+TblConstr[[#This Row],[Ch_Cavern]]</f>
        <v>0</v>
      </c>
      <c r="M17" s="240">
        <f ca="1">OFFSET(TblConstr[[#This Row],[Water]],-1,0)+TblConstr[[#This Row],[Ch_Water]]</f>
        <v>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44405.291666666635</v>
      </c>
      <c r="AI17" s="234">
        <f ca="1">MIN(25%,(TblConstr[[#This Row],[Tot Fac]]+TblConstr[[#This Row],[Dest Fac]])/(TblConstr[[#This Row],[Land]]-TblExplore[[#This Row],[Land Bonus]]*20))</f>
        <v>0.18</v>
      </c>
      <c r="AJ17" s="234">
        <f ca="1">MIN(25%,(TblConstr[[#This Row],[Tot Fac]]+TblConstr[[#This Row],[Dest Fac]])/TblConstr[[#This Row],[Land]])</f>
        <v>0.18</v>
      </c>
      <c r="AK17" s="113">
        <f ca="1">TblProd[[#This Row],[Platinum]]</f>
        <v>59188</v>
      </c>
      <c r="AL17" s="113">
        <f ca="1">TblProd[[#This Row],[Lumber]]</f>
        <v>16460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113">
        <f ca="1">ROUNDDOWN( MAX(1 - MIN(facs_constr_factor*TblConstr[[#This Row],[Facs -DB]],facs_constr_max) + tech_1_11*TblTech[[#This Row],[11-1]] + tech_6_3_2*TblTech[[#This Row],[6-3]] + tech_5_2_3*TblTech[[#This Row],[5-2]], 1-global_constr_cap) * TblConstr[[#This Row],[RCPA Lumber]],0)</f>
        <v>35</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7" s="113">
        <f ca="1">ROUNDDOWN( MAX(1 - MIN(facs_constr_factor*TblConstr[[#This Row],[Facs DB]],facs_constr_max) + tech_1_11*TblTech[[#This Row],[1-11]] + tech_6_3_2*TblTech[[#This Row],[6-3]] + tech_5_2_3*TblTech[[#This Row],[5-2]], 1-global_constr_cap) * TblConstr[[#This Row],[RCPA Lumber]],0)</f>
        <v>35</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45</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15</v>
      </c>
      <c r="BM17" s="488" cm="1">
        <f t="array" aca="1" ref="BM17" ca="1">IF(TblConstr[[#This Row],[Hour]:[Hour]]&gt;12,OFFSET(TblConstr[[#This Row],[Tem]],-12,0),0)+OFFSET(TblConstr[[#This Row],[Tot Tem]],-1,0)-TblConstr[[#This Row],[Dest Tem]]</f>
        <v>20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44405.291666666635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20</v>
      </c>
      <c r="DB17" s="49">
        <f t="shared" ca="1" si="5"/>
        <v>20</v>
      </c>
      <c r="DC17" s="113">
        <f t="shared" ca="1" si="6"/>
        <v>45</v>
      </c>
      <c r="DD17" s="113">
        <f t="shared" ca="1" si="7"/>
        <v>35</v>
      </c>
      <c r="DE17" s="49">
        <f t="shared" ca="1" si="8"/>
        <v>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0</v>
      </c>
      <c r="C18" s="230">
        <f ca="1">SUM(TblConstr[[#This Row],[Tot Hom]:[Tot Doc]])</f>
        <v>170</v>
      </c>
      <c r="D18" s="230">
        <f t="shared" si="2"/>
        <v>80</v>
      </c>
      <c r="E18" s="231"/>
      <c r="F18" s="74">
        <f ca="1">TblConstr[[#This Row],[Barren]]+TblConstr[[#This Row],[Buildings]]+TblConstr[[#This Row],[Incoming]]</f>
        <v>250</v>
      </c>
      <c r="G18" s="242">
        <f ca="1">OFFSET(TblConstr[[#This Row],[Plain]],-1,0)+TblConstr[[#This Row],[Ch_Plain]]</f>
        <v>0</v>
      </c>
      <c r="H18" s="236">
        <f ca="1">OFFSET(TblConstr[[#This Row],[Forest]],-1,0)+TblConstr[[#This Row],[Ch_Forest]]</f>
        <v>0</v>
      </c>
      <c r="I18" s="478">
        <f ca="1">OFFSET(TblConstr[[#This Row],[Mountain]],-1,0)+TblConstr[[#This Row],[Ch_Mountain]]</f>
        <v>0</v>
      </c>
      <c r="J18" s="482">
        <f ca="1">OFFSET(TblConstr[[#This Row],[Hill]],-1,0)+TblConstr[[#This Row],[Ch_Hill]]</f>
        <v>0</v>
      </c>
      <c r="K18" s="486">
        <f ca="1">OFFSET(TblConstr[[#This Row],[Swamp]],-1,0)+TblConstr[[#This Row],[Ch_Swamp]]</f>
        <v>0</v>
      </c>
      <c r="L18" s="239">
        <f ca="1">OFFSET(TblConstr[[#This Row],[Cavern]],-1,0)+TblConstr[[#This Row],[Ch_Cavern]]</f>
        <v>0</v>
      </c>
      <c r="M18" s="240">
        <f ca="1">OFFSET(TblConstr[[#This Row],[Water]],-1,0)+TblConstr[[#This Row],[Ch_Water]]</f>
        <v>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44405.333333333299</v>
      </c>
      <c r="AI18" s="234">
        <f ca="1">MIN(25%,(TblConstr[[#This Row],[Tot Fac]]+TblConstr[[#This Row],[Dest Fac]])/(TblConstr[[#This Row],[Land]]-TblExplore[[#This Row],[Land Bonus]]*20))</f>
        <v>0.18</v>
      </c>
      <c r="AJ18" s="234">
        <f ca="1">MIN(25%,(TblConstr[[#This Row],[Tot Fac]]+TblConstr[[#This Row],[Dest Fac]])/TblConstr[[#This Row],[Land]])</f>
        <v>0.18</v>
      </c>
      <c r="AK18" s="113">
        <f ca="1">TblProd[[#This Row],[Platinum]]</f>
        <v>65187</v>
      </c>
      <c r="AL18" s="113">
        <f ca="1">TblProd[[#This Row],[Lumber]]</f>
        <v>17295</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113">
        <f ca="1">ROUNDDOWN( MAX(1 - MIN(facs_constr_factor*TblConstr[[#This Row],[Facs -DB]],facs_constr_max) + tech_1_11*TblTech[[#This Row],[11-1]] + tech_6_3_2*TblTech[[#This Row],[6-3]] + tech_5_2_3*TblTech[[#This Row],[5-2]], 1-global_constr_cap) * TblConstr[[#This Row],[RCPA Lumber]],0)</f>
        <v>35</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8" s="113">
        <f ca="1">ROUNDDOWN( MAX(1 - MIN(facs_constr_factor*TblConstr[[#This Row],[Facs DB]],facs_constr_max) + tech_1_11*TblTech[[#This Row],[1-11]] + tech_6_3_2*TblTech[[#This Row],[6-3]] + tech_5_2_3*TblTech[[#This Row],[5-2]], 1-global_constr_cap) * TblConstr[[#This Row],[RCPA Lumber]],0)</f>
        <v>35</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45</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15</v>
      </c>
      <c r="BM18" s="488" cm="1">
        <f t="array" aca="1" ref="BM18" ca="1">IF(TblConstr[[#This Row],[Hour]:[Hour]]&gt;12,OFFSET(TblConstr[[#This Row],[Tem]],-12,0),0)+OFFSET(TblConstr[[#This Row],[Tot Tem]],-1,0)-TblConstr[[#This Row],[Dest Tem]]</f>
        <v>20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44405.333333333299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20</v>
      </c>
      <c r="DB18" s="49">
        <f t="shared" ca="1" si="5"/>
        <v>20</v>
      </c>
      <c r="DC18" s="113">
        <f t="shared" ca="1" si="6"/>
        <v>45</v>
      </c>
      <c r="DD18" s="113">
        <f t="shared" ca="1" si="7"/>
        <v>35</v>
      </c>
      <c r="DE18" s="49">
        <f t="shared" ca="1" si="8"/>
        <v>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0</v>
      </c>
      <c r="C19" s="230">
        <f ca="1">SUM(TblConstr[[#This Row],[Tot Hom]:[Tot Doc]])</f>
        <v>170</v>
      </c>
      <c r="D19" s="230">
        <f t="shared" si="2"/>
        <v>80</v>
      </c>
      <c r="E19" s="231"/>
      <c r="F19" s="74">
        <f ca="1">TblConstr[[#This Row],[Barren]]+TblConstr[[#This Row],[Buildings]]+TblConstr[[#This Row],[Incoming]]</f>
        <v>250</v>
      </c>
      <c r="G19" s="242">
        <f ca="1">OFFSET(TblConstr[[#This Row],[Plain]],-1,0)+TblConstr[[#This Row],[Ch_Plain]]</f>
        <v>0</v>
      </c>
      <c r="H19" s="236">
        <f ca="1">OFFSET(TblConstr[[#This Row],[Forest]],-1,0)+TblConstr[[#This Row],[Ch_Forest]]</f>
        <v>0</v>
      </c>
      <c r="I19" s="478">
        <f ca="1">OFFSET(TblConstr[[#This Row],[Mountain]],-1,0)+TblConstr[[#This Row],[Ch_Mountain]]</f>
        <v>0</v>
      </c>
      <c r="J19" s="482">
        <f ca="1">OFFSET(TblConstr[[#This Row],[Hill]],-1,0)+TblConstr[[#This Row],[Ch_Hill]]</f>
        <v>0</v>
      </c>
      <c r="K19" s="486">
        <f ca="1">OFFSET(TblConstr[[#This Row],[Swamp]],-1,0)+TblConstr[[#This Row],[Ch_Swamp]]</f>
        <v>0</v>
      </c>
      <c r="L19" s="239">
        <f ca="1">OFFSET(TblConstr[[#This Row],[Cavern]],-1,0)+TblConstr[[#This Row],[Ch_Cavern]]</f>
        <v>0</v>
      </c>
      <c r="M19" s="240">
        <f ca="1">OFFSET(TblConstr[[#This Row],[Water]],-1,0)+TblConstr[[#This Row],[Ch_Water]]</f>
        <v>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44405.374999999964</v>
      </c>
      <c r="AI19" s="234">
        <f ca="1">MIN(25%,(TblConstr[[#This Row],[Tot Fac]]+TblConstr[[#This Row],[Dest Fac]])/(TblConstr[[#This Row],[Land]]-TblExplore[[#This Row],[Land Bonus]]*20))</f>
        <v>0.18</v>
      </c>
      <c r="AJ19" s="234">
        <f ca="1">MIN(25%,(TblConstr[[#This Row],[Tot Fac]]+TblConstr[[#This Row],[Dest Fac]])/TblConstr[[#This Row],[Land]])</f>
        <v>0.18</v>
      </c>
      <c r="AK19" s="113">
        <f ca="1">TblProd[[#This Row],[Platinum]]</f>
        <v>71413</v>
      </c>
      <c r="AL19" s="113">
        <f ca="1">TblProd[[#This Row],[Lumber]]</f>
        <v>18122</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113">
        <f ca="1">ROUNDDOWN( MAX(1 - MIN(facs_constr_factor*TblConstr[[#This Row],[Facs -DB]],facs_constr_max) + tech_1_11*TblTech[[#This Row],[11-1]] + tech_6_3_2*TblTech[[#This Row],[6-3]] + tech_5_2_3*TblTech[[#This Row],[5-2]], 1-global_constr_cap) * TblConstr[[#This Row],[RCPA Lumber]],0)</f>
        <v>35</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9" s="113">
        <f ca="1">ROUNDDOWN( MAX(1 - MIN(facs_constr_factor*TblConstr[[#This Row],[Facs DB]],facs_constr_max) + tech_1_11*TblTech[[#This Row],[1-11]] + tech_6_3_2*TblTech[[#This Row],[6-3]] + tech_5_2_3*TblTech[[#This Row],[5-2]], 1-global_constr_cap) * TblConstr[[#This Row],[RCPA Lumber]],0)</f>
        <v>35</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45</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15</v>
      </c>
      <c r="BM19" s="488" cm="1">
        <f t="array" aca="1" ref="BM19" ca="1">IF(TblConstr[[#This Row],[Hour]:[Hour]]&gt;12,OFFSET(TblConstr[[#This Row],[Tem]],-12,0),0)+OFFSET(TblConstr[[#This Row],[Tot Tem]],-1,0)-TblConstr[[#This Row],[Dest Tem]]</f>
        <v>20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44405.374999999964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20</v>
      </c>
      <c r="DB19" s="49">
        <f t="shared" ca="1" si="5"/>
        <v>20</v>
      </c>
      <c r="DC19" s="113">
        <f t="shared" ca="1" si="6"/>
        <v>45</v>
      </c>
      <c r="DD19" s="113">
        <f t="shared" ca="1" si="7"/>
        <v>35</v>
      </c>
      <c r="DE19" s="49">
        <f t="shared" ca="1" si="8"/>
        <v>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0</v>
      </c>
      <c r="C20" s="230">
        <f ca="1">SUM(TblConstr[[#This Row],[Tot Hom]:[Tot Doc]])</f>
        <v>170</v>
      </c>
      <c r="D20" s="230">
        <f t="shared" si="2"/>
        <v>80</v>
      </c>
      <c r="E20" s="231"/>
      <c r="F20" s="74">
        <f ca="1">TblConstr[[#This Row],[Barren]]+TblConstr[[#This Row],[Buildings]]+TblConstr[[#This Row],[Incoming]]</f>
        <v>250</v>
      </c>
      <c r="G20" s="242">
        <f ca="1">OFFSET(TblConstr[[#This Row],[Plain]],-1,0)+TblConstr[[#This Row],[Ch_Plain]]</f>
        <v>0</v>
      </c>
      <c r="H20" s="236">
        <f ca="1">OFFSET(TblConstr[[#This Row],[Forest]],-1,0)+TblConstr[[#This Row],[Ch_Forest]]</f>
        <v>0</v>
      </c>
      <c r="I20" s="478">
        <f ca="1">OFFSET(TblConstr[[#This Row],[Mountain]],-1,0)+TblConstr[[#This Row],[Ch_Mountain]]</f>
        <v>0</v>
      </c>
      <c r="J20" s="482">
        <f ca="1">OFFSET(TblConstr[[#This Row],[Hill]],-1,0)+TblConstr[[#This Row],[Ch_Hill]]</f>
        <v>0</v>
      </c>
      <c r="K20" s="486">
        <f ca="1">OFFSET(TblConstr[[#This Row],[Swamp]],-1,0)+TblConstr[[#This Row],[Ch_Swamp]]</f>
        <v>0</v>
      </c>
      <c r="L20" s="239">
        <f ca="1">OFFSET(TblConstr[[#This Row],[Cavern]],-1,0)+TblConstr[[#This Row],[Ch_Cavern]]</f>
        <v>0</v>
      </c>
      <c r="M20" s="240">
        <f ca="1">OFFSET(TblConstr[[#This Row],[Water]],-1,0)+TblConstr[[#This Row],[Ch_Water]]</f>
        <v>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44405.416666666628</v>
      </c>
      <c r="AI20" s="234">
        <f ca="1">MIN(25%,(TblConstr[[#This Row],[Tot Fac]]+TblConstr[[#This Row],[Dest Fac]])/(TblConstr[[#This Row],[Land]]-TblExplore[[#This Row],[Land Bonus]]*20))</f>
        <v>0.18</v>
      </c>
      <c r="AJ20" s="234">
        <f ca="1">MIN(25%,(TblConstr[[#This Row],[Tot Fac]]+TblConstr[[#This Row],[Dest Fac]])/TblConstr[[#This Row],[Land]])</f>
        <v>0.18</v>
      </c>
      <c r="AK20" s="113">
        <f ca="1">TblProd[[#This Row],[Platinum]]</f>
        <v>78523</v>
      </c>
      <c r="AL20" s="113">
        <f ca="1">TblProd[[#This Row],[Lumber]]</f>
        <v>18941</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113">
        <f ca="1">ROUNDDOWN( MAX(1 - MIN(facs_constr_factor*TblConstr[[#This Row],[Facs -DB]],facs_constr_max) + tech_1_11*TblTech[[#This Row],[11-1]] + tech_6_3_2*TblTech[[#This Row],[6-3]] + tech_5_2_3*TblTech[[#This Row],[5-2]], 1-global_constr_cap) * TblConstr[[#This Row],[RCPA Lumber]],0)</f>
        <v>35</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0" s="113">
        <f ca="1">ROUNDDOWN( MAX(1 - MIN(facs_constr_factor*TblConstr[[#This Row],[Facs DB]],facs_constr_max) + tech_1_11*TblTech[[#This Row],[1-11]] + tech_6_3_2*TblTech[[#This Row],[6-3]] + tech_5_2_3*TblTech[[#This Row],[5-2]], 1-global_constr_cap) * TblConstr[[#This Row],[RCPA Lumber]],0)</f>
        <v>35</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45</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15</v>
      </c>
      <c r="BM20" s="488" cm="1">
        <f t="array" aca="1" ref="BM20" ca="1">IF(TblConstr[[#This Row],[Hour]:[Hour]]&gt;12,OFFSET(TblConstr[[#This Row],[Tem]],-12,0),0)+OFFSET(TblConstr[[#This Row],[Tot Tem]],-1,0)-TblConstr[[#This Row],[Dest Tem]]</f>
        <v>20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44405.416666666628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20</v>
      </c>
      <c r="DB20" s="49">
        <f t="shared" ca="1" si="5"/>
        <v>20</v>
      </c>
      <c r="DC20" s="113">
        <f t="shared" ca="1" si="6"/>
        <v>45</v>
      </c>
      <c r="DD20" s="113">
        <f t="shared" ca="1" si="7"/>
        <v>35</v>
      </c>
      <c r="DE20" s="49">
        <f t="shared" ca="1" si="8"/>
        <v>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0</v>
      </c>
      <c r="C21" s="230">
        <f ca="1">SUM(TblConstr[[#This Row],[Tot Hom]:[Tot Doc]])</f>
        <v>170</v>
      </c>
      <c r="D21" s="230">
        <f t="shared" si="2"/>
        <v>80</v>
      </c>
      <c r="E21" s="231"/>
      <c r="F21" s="74">
        <f ca="1">TblConstr[[#This Row],[Barren]]+TblConstr[[#This Row],[Buildings]]+TblConstr[[#This Row],[Incoming]]</f>
        <v>250</v>
      </c>
      <c r="G21" s="242">
        <f ca="1">OFFSET(TblConstr[[#This Row],[Plain]],-1,0)+TblConstr[[#This Row],[Ch_Plain]]</f>
        <v>0</v>
      </c>
      <c r="H21" s="236">
        <f ca="1">OFFSET(TblConstr[[#This Row],[Forest]],-1,0)+TblConstr[[#This Row],[Ch_Forest]]</f>
        <v>0</v>
      </c>
      <c r="I21" s="478">
        <f ca="1">OFFSET(TblConstr[[#This Row],[Mountain]],-1,0)+TblConstr[[#This Row],[Ch_Mountain]]</f>
        <v>0</v>
      </c>
      <c r="J21" s="482">
        <f ca="1">OFFSET(TblConstr[[#This Row],[Hill]],-1,0)+TblConstr[[#This Row],[Ch_Hill]]</f>
        <v>0</v>
      </c>
      <c r="K21" s="486">
        <f ca="1">OFFSET(TblConstr[[#This Row],[Swamp]],-1,0)+TblConstr[[#This Row],[Ch_Swamp]]</f>
        <v>0</v>
      </c>
      <c r="L21" s="239">
        <f ca="1">OFFSET(TblConstr[[#This Row],[Cavern]],-1,0)+TblConstr[[#This Row],[Ch_Cavern]]</f>
        <v>0</v>
      </c>
      <c r="M21" s="240">
        <f ca="1">OFFSET(TblConstr[[#This Row],[Water]],-1,0)+TblConstr[[#This Row],[Ch_Water]]</f>
        <v>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44405.458333333292</v>
      </c>
      <c r="AI21" s="234">
        <f ca="1">MIN(25%,(TblConstr[[#This Row],[Tot Fac]]+TblConstr[[#This Row],[Dest Fac]])/(TblConstr[[#This Row],[Land]]-TblExplore[[#This Row],[Land Bonus]]*20))</f>
        <v>0.18</v>
      </c>
      <c r="AJ21" s="234">
        <f ca="1">MIN(25%,(TblConstr[[#This Row],[Tot Fac]]+TblConstr[[#This Row],[Dest Fac]])/TblConstr[[#This Row],[Land]])</f>
        <v>0.18</v>
      </c>
      <c r="AK21" s="113">
        <f ca="1">TblProd[[#This Row],[Platinum]]</f>
        <v>85906</v>
      </c>
      <c r="AL21" s="113">
        <f ca="1">TblProd[[#This Row],[Lumber]]</f>
        <v>19752</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1" s="113">
        <f ca="1">ROUNDDOWN( MAX(1 - MIN(facs_constr_factor*TblConstr[[#This Row],[Facs -DB]],facs_constr_max) + tech_1_11*TblTech[[#This Row],[11-1]] + tech_6_3_2*TblTech[[#This Row],[6-3]] + tech_5_2_3*TblTech[[#This Row],[5-2]], 1-global_constr_cap) * TblConstr[[#This Row],[RCPA Lumber]],0)</f>
        <v>35</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1" s="113">
        <f ca="1">ROUNDDOWN( MAX(1 - MIN(facs_constr_factor*TblConstr[[#This Row],[Facs DB]],facs_constr_max) + tech_1_11*TblTech[[#This Row],[1-11]] + tech_6_3_2*TblTech[[#This Row],[6-3]] + tech_5_2_3*TblTech[[#This Row],[5-2]], 1-global_constr_cap) * TblConstr[[#This Row],[RCPA Lumber]],0)</f>
        <v>35</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45</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15</v>
      </c>
      <c r="BM21" s="488" cm="1">
        <f t="array" aca="1" ref="BM21" ca="1">IF(TblConstr[[#This Row],[Hour]:[Hour]]&gt;12,OFFSET(TblConstr[[#This Row],[Tem]],-12,0),0)+OFFSET(TblConstr[[#This Row],[Tot Tem]],-1,0)-TblConstr[[#This Row],[Dest Tem]]</f>
        <v>20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44405.458333333292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20</v>
      </c>
      <c r="DB21" s="49">
        <f t="shared" ca="1" si="5"/>
        <v>20</v>
      </c>
      <c r="DC21" s="113">
        <f t="shared" ca="1" si="6"/>
        <v>45</v>
      </c>
      <c r="DD21" s="113">
        <f t="shared" ca="1" si="7"/>
        <v>35</v>
      </c>
      <c r="DE21" s="49">
        <f t="shared" ca="1" si="8"/>
        <v>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0</v>
      </c>
      <c r="C22" s="230">
        <f ca="1">SUM(TblConstr[[#This Row],[Tot Hom]:[Tot Doc]])</f>
        <v>170</v>
      </c>
      <c r="D22" s="230">
        <f t="shared" si="2"/>
        <v>80</v>
      </c>
      <c r="E22" s="231"/>
      <c r="F22" s="74">
        <f ca="1">TblConstr[[#This Row],[Barren]]+TblConstr[[#This Row],[Buildings]]+TblConstr[[#This Row],[Incoming]]</f>
        <v>250</v>
      </c>
      <c r="G22" s="242">
        <f ca="1">OFFSET(TblConstr[[#This Row],[Plain]],-1,0)+TblConstr[[#This Row],[Ch_Plain]]</f>
        <v>0</v>
      </c>
      <c r="H22" s="236">
        <f ca="1">OFFSET(TblConstr[[#This Row],[Forest]],-1,0)+TblConstr[[#This Row],[Ch_Forest]]</f>
        <v>0</v>
      </c>
      <c r="I22" s="478">
        <f ca="1">OFFSET(TblConstr[[#This Row],[Mountain]],-1,0)+TblConstr[[#This Row],[Ch_Mountain]]</f>
        <v>0</v>
      </c>
      <c r="J22" s="482">
        <f ca="1">OFFSET(TblConstr[[#This Row],[Hill]],-1,0)+TblConstr[[#This Row],[Ch_Hill]]</f>
        <v>0</v>
      </c>
      <c r="K22" s="486">
        <f ca="1">OFFSET(TblConstr[[#This Row],[Swamp]],-1,0)+TblConstr[[#This Row],[Ch_Swamp]]</f>
        <v>0</v>
      </c>
      <c r="L22" s="239">
        <f ca="1">OFFSET(TblConstr[[#This Row],[Cavern]],-1,0)+TblConstr[[#This Row],[Ch_Cavern]]</f>
        <v>0</v>
      </c>
      <c r="M22" s="240">
        <f ca="1">OFFSET(TblConstr[[#This Row],[Water]],-1,0)+TblConstr[[#This Row],[Ch_Water]]</f>
        <v>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44405.499999999956</v>
      </c>
      <c r="AI22" s="234">
        <f ca="1">MIN(25%,(TblConstr[[#This Row],[Tot Fac]]+TblConstr[[#This Row],[Dest Fac]])/(TblConstr[[#This Row],[Land]]-TblExplore[[#This Row],[Land Bonus]]*20))</f>
        <v>0.18</v>
      </c>
      <c r="AJ22" s="234">
        <f ca="1">MIN(25%,(TblConstr[[#This Row],[Tot Fac]]+TblConstr[[#This Row],[Dest Fac]])/TblConstr[[#This Row],[Land]])</f>
        <v>0.18</v>
      </c>
      <c r="AK22" s="113">
        <f ca="1">TblProd[[#This Row],[Platinum]]</f>
        <v>93577</v>
      </c>
      <c r="AL22" s="113">
        <f ca="1">TblProd[[#This Row],[Lumber]]</f>
        <v>20554</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2" s="113">
        <f ca="1">ROUNDDOWN( MAX(1 - MIN(facs_constr_factor*TblConstr[[#This Row],[Facs -DB]],facs_constr_max) + tech_1_11*TblTech[[#This Row],[11-1]] + tech_6_3_2*TblTech[[#This Row],[6-3]] + tech_5_2_3*TblTech[[#This Row],[5-2]], 1-global_constr_cap) * TblConstr[[#This Row],[RCPA Lumber]],0)</f>
        <v>35</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2" s="113">
        <f ca="1">ROUNDDOWN( MAX(1 - MIN(facs_constr_factor*TblConstr[[#This Row],[Facs DB]],facs_constr_max) + tech_1_11*TblTech[[#This Row],[1-11]] + tech_6_3_2*TblTech[[#This Row],[6-3]] + tech_5_2_3*TblTech[[#This Row],[5-2]], 1-global_constr_cap) * TblConstr[[#This Row],[RCPA Lumber]],0)</f>
        <v>35</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45</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15</v>
      </c>
      <c r="BM22" s="488" cm="1">
        <f t="array" aca="1" ref="BM22" ca="1">IF(TblConstr[[#This Row],[Hour]:[Hour]]&gt;12,OFFSET(TblConstr[[#This Row],[Tem]],-12,0),0)+OFFSET(TblConstr[[#This Row],[Tot Tem]],-1,0)-TblConstr[[#This Row],[Dest Tem]]</f>
        <v>20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44405.499999999956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20</v>
      </c>
      <c r="DB22" s="49">
        <f t="shared" ca="1" si="5"/>
        <v>20</v>
      </c>
      <c r="DC22" s="113">
        <f t="shared" ca="1" si="6"/>
        <v>45</v>
      </c>
      <c r="DD22" s="113">
        <f t="shared" ca="1" si="7"/>
        <v>35</v>
      </c>
      <c r="DE22" s="49">
        <f t="shared" ca="1" si="8"/>
        <v>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0</v>
      </c>
      <c r="C23" s="230">
        <f ca="1">SUM(TblConstr[[#This Row],[Tot Hom]:[Tot Doc]])</f>
        <v>170</v>
      </c>
      <c r="D23" s="230">
        <f t="shared" si="2"/>
        <v>80</v>
      </c>
      <c r="E23" s="231"/>
      <c r="F23" s="74">
        <f ca="1">TblConstr[[#This Row],[Barren]]+TblConstr[[#This Row],[Buildings]]+TblConstr[[#This Row],[Incoming]]</f>
        <v>250</v>
      </c>
      <c r="G23" s="242">
        <f ca="1">OFFSET(TblConstr[[#This Row],[Plain]],-1,0)+TblConstr[[#This Row],[Ch_Plain]]</f>
        <v>0</v>
      </c>
      <c r="H23" s="236">
        <f ca="1">OFFSET(TblConstr[[#This Row],[Forest]],-1,0)+TblConstr[[#This Row],[Ch_Forest]]</f>
        <v>0</v>
      </c>
      <c r="I23" s="478">
        <f ca="1">OFFSET(TblConstr[[#This Row],[Mountain]],-1,0)+TblConstr[[#This Row],[Ch_Mountain]]</f>
        <v>0</v>
      </c>
      <c r="J23" s="482">
        <f ca="1">OFFSET(TblConstr[[#This Row],[Hill]],-1,0)+TblConstr[[#This Row],[Ch_Hill]]</f>
        <v>0</v>
      </c>
      <c r="K23" s="486">
        <f ca="1">OFFSET(TblConstr[[#This Row],[Swamp]],-1,0)+TblConstr[[#This Row],[Ch_Swamp]]</f>
        <v>0</v>
      </c>
      <c r="L23" s="239">
        <f ca="1">OFFSET(TblConstr[[#This Row],[Cavern]],-1,0)+TblConstr[[#This Row],[Ch_Cavern]]</f>
        <v>0</v>
      </c>
      <c r="M23" s="240">
        <f ca="1">OFFSET(TblConstr[[#This Row],[Water]],-1,0)+TblConstr[[#This Row],[Ch_Water]]</f>
        <v>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44405.541666666621</v>
      </c>
      <c r="AI23" s="234">
        <f ca="1">MIN(25%,(TblConstr[[#This Row],[Tot Fac]]+TblConstr[[#This Row],[Dest Fac]])/(TblConstr[[#This Row],[Land]]-TblExplore[[#This Row],[Land Bonus]]*20))</f>
        <v>0.18</v>
      </c>
      <c r="AJ23" s="234">
        <f ca="1">MIN(25%,(TblConstr[[#This Row],[Tot Fac]]+TblConstr[[#This Row],[Dest Fac]])/TblConstr[[#This Row],[Land]])</f>
        <v>0.18</v>
      </c>
      <c r="AK23" s="113">
        <f ca="1">TblProd[[#This Row],[Platinum]]</f>
        <v>101548</v>
      </c>
      <c r="AL23" s="113">
        <f ca="1">TblProd[[#This Row],[Lumber]]</f>
        <v>21348</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3" s="113">
        <f ca="1">ROUNDDOWN( MAX(1 - MIN(facs_constr_factor*TblConstr[[#This Row],[Facs -DB]],facs_constr_max) + tech_1_11*TblTech[[#This Row],[11-1]] + tech_6_3_2*TblTech[[#This Row],[6-3]] + tech_5_2_3*TblTech[[#This Row],[5-2]], 1-global_constr_cap) * TblConstr[[#This Row],[RCPA Lumber]],0)</f>
        <v>35</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3" s="113">
        <f ca="1">ROUNDDOWN( MAX(1 - MIN(facs_constr_factor*TblConstr[[#This Row],[Facs DB]],facs_constr_max) + tech_1_11*TblTech[[#This Row],[1-11]] + tech_6_3_2*TblTech[[#This Row],[6-3]] + tech_5_2_3*TblTech[[#This Row],[5-2]], 1-global_constr_cap) * TblConstr[[#This Row],[RCPA Lumber]],0)</f>
        <v>35</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45</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15</v>
      </c>
      <c r="BM23" s="488" cm="1">
        <f t="array" aca="1" ref="BM23" ca="1">IF(TblConstr[[#This Row],[Hour]:[Hour]]&gt;12,OFFSET(TblConstr[[#This Row],[Tem]],-12,0),0)+OFFSET(TblConstr[[#This Row],[Tot Tem]],-1,0)-TblConstr[[#This Row],[Dest Tem]]</f>
        <v>20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44405.541666666621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20</v>
      </c>
      <c r="DB23" s="49">
        <f t="shared" ca="1" si="5"/>
        <v>20</v>
      </c>
      <c r="DC23" s="113">
        <f t="shared" ca="1" si="6"/>
        <v>45</v>
      </c>
      <c r="DD23" s="113">
        <f t="shared" ca="1" si="7"/>
        <v>35</v>
      </c>
      <c r="DE23" s="49">
        <f t="shared" ca="1" si="8"/>
        <v>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0</v>
      </c>
      <c r="C24" s="230">
        <f ca="1">SUM(TblConstr[[#This Row],[Tot Hom]:[Tot Doc]])</f>
        <v>170</v>
      </c>
      <c r="D24" s="230">
        <f t="shared" si="2"/>
        <v>80</v>
      </c>
      <c r="E24" s="231"/>
      <c r="F24" s="74">
        <f ca="1">TblConstr[[#This Row],[Barren]]+TblConstr[[#This Row],[Buildings]]+TblConstr[[#This Row],[Incoming]]</f>
        <v>250</v>
      </c>
      <c r="G24" s="242">
        <f ca="1">OFFSET(TblConstr[[#This Row],[Plain]],-1,0)+TblConstr[[#This Row],[Ch_Plain]]</f>
        <v>0</v>
      </c>
      <c r="H24" s="236">
        <f ca="1">OFFSET(TblConstr[[#This Row],[Forest]],-1,0)+TblConstr[[#This Row],[Ch_Forest]]</f>
        <v>0</v>
      </c>
      <c r="I24" s="478">
        <f ca="1">OFFSET(TblConstr[[#This Row],[Mountain]],-1,0)+TblConstr[[#This Row],[Ch_Mountain]]</f>
        <v>0</v>
      </c>
      <c r="J24" s="482">
        <f ca="1">OFFSET(TblConstr[[#This Row],[Hill]],-1,0)+TblConstr[[#This Row],[Ch_Hill]]</f>
        <v>0</v>
      </c>
      <c r="K24" s="486">
        <f ca="1">OFFSET(TblConstr[[#This Row],[Swamp]],-1,0)+TblConstr[[#This Row],[Ch_Swamp]]</f>
        <v>0</v>
      </c>
      <c r="L24" s="239">
        <f ca="1">OFFSET(TblConstr[[#This Row],[Cavern]],-1,0)+TblConstr[[#This Row],[Ch_Cavern]]</f>
        <v>0</v>
      </c>
      <c r="M24" s="240">
        <f ca="1">OFFSET(TblConstr[[#This Row],[Water]],-1,0)+TblConstr[[#This Row],[Ch_Water]]</f>
        <v>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44405.583333333285</v>
      </c>
      <c r="AI24" s="234">
        <f ca="1">MIN(25%,(TblConstr[[#This Row],[Tot Fac]]+TblConstr[[#This Row],[Dest Fac]])/(TblConstr[[#This Row],[Land]]-TblExplore[[#This Row],[Land Bonus]]*20))</f>
        <v>0.18</v>
      </c>
      <c r="AJ24" s="234">
        <f ca="1">MIN(25%,(TblConstr[[#This Row],[Tot Fac]]+TblConstr[[#This Row],[Dest Fac]])/TblConstr[[#This Row],[Land]])</f>
        <v>0.18</v>
      </c>
      <c r="AK24" s="113">
        <f ca="1">TblProd[[#This Row],[Platinum]]</f>
        <v>109834</v>
      </c>
      <c r="AL24" s="113">
        <f ca="1">TblProd[[#This Row],[Lumber]]</f>
        <v>22135</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4" s="113">
        <f ca="1">ROUNDDOWN( MAX(1 - MIN(facs_constr_factor*TblConstr[[#This Row],[Facs -DB]],facs_constr_max) + tech_1_11*TblTech[[#This Row],[11-1]] + tech_6_3_2*TblTech[[#This Row],[6-3]] + tech_5_2_3*TblTech[[#This Row],[5-2]], 1-global_constr_cap) * TblConstr[[#This Row],[RCPA Lumber]],0)</f>
        <v>35</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4" s="113">
        <f ca="1">ROUNDDOWN( MAX(1 - MIN(facs_constr_factor*TblConstr[[#This Row],[Facs DB]],facs_constr_max) + tech_1_11*TblTech[[#This Row],[1-11]] + tech_6_3_2*TblTech[[#This Row],[6-3]] + tech_5_2_3*TblTech[[#This Row],[5-2]], 1-global_constr_cap) * TblConstr[[#This Row],[RCPA Lumber]],0)</f>
        <v>35</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45</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15</v>
      </c>
      <c r="BM24" s="488" cm="1">
        <f t="array" aca="1" ref="BM24" ca="1">IF(TblConstr[[#This Row],[Hour]:[Hour]]&gt;12,OFFSET(TblConstr[[#This Row],[Tem]],-12,0),0)+OFFSET(TblConstr[[#This Row],[Tot Tem]],-1,0)-TblConstr[[#This Row],[Dest Tem]]</f>
        <v>20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44405.583333333285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20</v>
      </c>
      <c r="DB24" s="49">
        <f t="shared" ca="1" si="5"/>
        <v>20</v>
      </c>
      <c r="DC24" s="113">
        <f t="shared" ca="1" si="6"/>
        <v>45</v>
      </c>
      <c r="DD24" s="113">
        <f t="shared" ca="1" si="7"/>
        <v>35</v>
      </c>
      <c r="DE24" s="49">
        <f t="shared" ca="1" si="8"/>
        <v>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0</v>
      </c>
      <c r="C25" s="230">
        <f ca="1">SUM(TblConstr[[#This Row],[Tot Hom]:[Tot Doc]])</f>
        <v>170</v>
      </c>
      <c r="D25" s="230">
        <f t="shared" si="2"/>
        <v>80</v>
      </c>
      <c r="E25" s="231"/>
      <c r="F25" s="74">
        <f ca="1">TblConstr[[#This Row],[Barren]]+TblConstr[[#This Row],[Buildings]]+TblConstr[[#This Row],[Incoming]]</f>
        <v>250</v>
      </c>
      <c r="G25" s="242">
        <f ca="1">OFFSET(TblConstr[[#This Row],[Plain]],-1,0)+TblConstr[[#This Row],[Ch_Plain]]</f>
        <v>0</v>
      </c>
      <c r="H25" s="236">
        <f ca="1">OFFSET(TblConstr[[#This Row],[Forest]],-1,0)+TblConstr[[#This Row],[Ch_Forest]]</f>
        <v>0</v>
      </c>
      <c r="I25" s="478">
        <f ca="1">OFFSET(TblConstr[[#This Row],[Mountain]],-1,0)+TblConstr[[#This Row],[Ch_Mountain]]</f>
        <v>0</v>
      </c>
      <c r="J25" s="482">
        <f ca="1">OFFSET(TblConstr[[#This Row],[Hill]],-1,0)+TblConstr[[#This Row],[Ch_Hill]]</f>
        <v>0</v>
      </c>
      <c r="K25" s="486">
        <f ca="1">OFFSET(TblConstr[[#This Row],[Swamp]],-1,0)+TblConstr[[#This Row],[Ch_Swamp]]</f>
        <v>0</v>
      </c>
      <c r="L25" s="239">
        <f ca="1">OFFSET(TblConstr[[#This Row],[Cavern]],-1,0)+TblConstr[[#This Row],[Ch_Cavern]]</f>
        <v>0</v>
      </c>
      <c r="M25" s="240">
        <f ca="1">OFFSET(TblConstr[[#This Row],[Water]],-1,0)+TblConstr[[#This Row],[Ch_Water]]</f>
        <v>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44405.624999999949</v>
      </c>
      <c r="AI25" s="234">
        <f ca="1">MIN(25%,(TblConstr[[#This Row],[Tot Fac]]+TblConstr[[#This Row],[Dest Fac]])/(TblConstr[[#This Row],[Land]]-TblExplore[[#This Row],[Land Bonus]]*20))</f>
        <v>0.18</v>
      </c>
      <c r="AJ25" s="234">
        <f ca="1">MIN(25%,(TblConstr[[#This Row],[Tot Fac]]+TblConstr[[#This Row],[Dest Fac]])/TblConstr[[#This Row],[Land]])</f>
        <v>0.18</v>
      </c>
      <c r="AK25" s="113">
        <f ca="1">TblProd[[#This Row],[Platinum]]</f>
        <v>118452</v>
      </c>
      <c r="AL25" s="113">
        <f ca="1">TblProd[[#This Row],[Lumber]]</f>
        <v>22914</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5" s="113">
        <f ca="1">ROUNDDOWN( MAX(1 - MIN(facs_constr_factor*TblConstr[[#This Row],[Facs -DB]],facs_constr_max) + tech_1_11*TblTech[[#This Row],[11-1]] + tech_6_3_2*TblTech[[#This Row],[6-3]] + tech_5_2_3*TblTech[[#This Row],[5-2]], 1-global_constr_cap) * TblConstr[[#This Row],[RCPA Lumber]],0)</f>
        <v>35</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5" s="113">
        <f ca="1">ROUNDDOWN( MAX(1 - MIN(facs_constr_factor*TblConstr[[#This Row],[Facs DB]],facs_constr_max) + tech_1_11*TblTech[[#This Row],[1-11]] + tech_6_3_2*TblTech[[#This Row],[6-3]] + tech_5_2_3*TblTech[[#This Row],[5-2]], 1-global_constr_cap) * TblConstr[[#This Row],[RCPA Lumber]],0)</f>
        <v>35</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45</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15</v>
      </c>
      <c r="BM25" s="488" cm="1">
        <f t="array" aca="1" ref="BM25" ca="1">IF(TblConstr[[#This Row],[Hour]:[Hour]]&gt;12,OFFSET(TblConstr[[#This Row],[Tem]],-12,0),0)+OFFSET(TblConstr[[#This Row],[Tot Tem]],-1,0)-TblConstr[[#This Row],[Dest Tem]]</f>
        <v>20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44405.624999999949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20</v>
      </c>
      <c r="DB25" s="49">
        <f t="shared" ca="1" si="5"/>
        <v>20</v>
      </c>
      <c r="DC25" s="113">
        <f t="shared" ca="1" si="6"/>
        <v>45</v>
      </c>
      <c r="DD25" s="113">
        <f t="shared" ca="1" si="7"/>
        <v>35</v>
      </c>
      <c r="DE25" s="49">
        <f t="shared" ca="1" si="8"/>
        <v>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0</v>
      </c>
      <c r="C26" s="230">
        <f ca="1">SUM(TblConstr[[#This Row],[Tot Hom]:[Tot Doc]])</f>
        <v>170</v>
      </c>
      <c r="D26" s="230">
        <f>SUM(O15:AG26)</f>
        <v>80</v>
      </c>
      <c r="E26" s="231"/>
      <c r="F26" s="74">
        <f ca="1">TblConstr[[#This Row],[Barren]]+TblConstr[[#This Row],[Buildings]]+TblConstr[[#This Row],[Incoming]]</f>
        <v>250</v>
      </c>
      <c r="G26" s="242">
        <f ca="1">OFFSET(TblConstr[[#This Row],[Plain]],-1,0)+TblConstr[[#This Row],[Ch_Plain]]</f>
        <v>0</v>
      </c>
      <c r="H26" s="236">
        <f ca="1">OFFSET(TblConstr[[#This Row],[Forest]],-1,0)+TblConstr[[#This Row],[Ch_Forest]]</f>
        <v>0</v>
      </c>
      <c r="I26" s="478">
        <f ca="1">OFFSET(TblConstr[[#This Row],[Mountain]],-1,0)+TblConstr[[#This Row],[Ch_Mountain]]</f>
        <v>0</v>
      </c>
      <c r="J26" s="482">
        <f ca="1">OFFSET(TblConstr[[#This Row],[Hill]],-1,0)+TblConstr[[#This Row],[Ch_Hill]]</f>
        <v>0</v>
      </c>
      <c r="K26" s="486">
        <f ca="1">OFFSET(TblConstr[[#This Row],[Swamp]],-1,0)+TblConstr[[#This Row],[Ch_Swamp]]</f>
        <v>0</v>
      </c>
      <c r="L26" s="239">
        <f ca="1">OFFSET(TblConstr[[#This Row],[Cavern]],-1,0)+TblConstr[[#This Row],[Ch_Cavern]]</f>
        <v>0</v>
      </c>
      <c r="M26" s="240">
        <f ca="1">OFFSET(TblConstr[[#This Row],[Water]],-1,0)+TblConstr[[#This Row],[Ch_Water]]</f>
        <v>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44405.666666666613</v>
      </c>
      <c r="AI26" s="234">
        <f ca="1">MIN(25%,(TblConstr[[#This Row],[Tot Fac]]+TblConstr[[#This Row],[Dest Fac]])/(TblConstr[[#This Row],[Land]]-TblExplore[[#This Row],[Land Bonus]]*20))</f>
        <v>0.18</v>
      </c>
      <c r="AJ26" s="234">
        <f ca="1">MIN(25%,(TblConstr[[#This Row],[Tot Fac]]+TblConstr[[#This Row],[Dest Fac]])/TblConstr[[#This Row],[Land]])</f>
        <v>0.18</v>
      </c>
      <c r="AK26" s="113">
        <f ca="1">TblProd[[#This Row],[Platinum]]</f>
        <v>127418</v>
      </c>
      <c r="AL26" s="113">
        <f ca="1">TblProd[[#This Row],[Lumber]]</f>
        <v>23685</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6" s="113">
        <f ca="1">ROUNDDOWN( MAX(1 - MIN(facs_constr_factor*TblConstr[[#This Row],[Facs -DB]],facs_constr_max) + tech_1_11*TblTech[[#This Row],[11-1]] + tech_6_3_2*TblTech[[#This Row],[6-3]] + tech_5_2_3*TblTech[[#This Row],[5-2]], 1-global_constr_cap) * TblConstr[[#This Row],[RCPA Lumber]],0)</f>
        <v>35</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6" s="113">
        <f ca="1">ROUNDDOWN( MAX(1 - MIN(facs_constr_factor*TblConstr[[#This Row],[Facs DB]],facs_constr_max) + tech_1_11*TblTech[[#This Row],[1-11]] + tech_6_3_2*TblTech[[#This Row],[6-3]] + tech_5_2_3*TblTech[[#This Row],[5-2]], 1-global_constr_cap) * TblConstr[[#This Row],[RCPA Lumber]],0)</f>
        <v>35</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45</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15</v>
      </c>
      <c r="BM26" s="488" cm="1">
        <f t="array" aca="1" ref="BM26" ca="1">IF(TblConstr[[#This Row],[Hour]:[Hour]]&gt;12,OFFSET(TblConstr[[#This Row],[Tem]],-12,0),0)+OFFSET(TblConstr[[#This Row],[Tot Tem]],-1,0)-TblConstr[[#This Row],[Dest Tem]]</f>
        <v>20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44405.666666666613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20</v>
      </c>
      <c r="DB26" s="49">
        <f t="shared" ca="1" si="5"/>
        <v>20</v>
      </c>
      <c r="DC26" s="113">
        <f t="shared" ca="1" si="6"/>
        <v>45</v>
      </c>
      <c r="DD26" s="113">
        <f t="shared" ca="1" si="7"/>
        <v>35</v>
      </c>
      <c r="DE26" s="49">
        <f t="shared" ca="1" si="8"/>
        <v>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0</v>
      </c>
      <c r="C27" s="230">
        <f ca="1">SUM(TblConstr[[#This Row],[Tot Hom]:[Tot Doc]])</f>
        <v>170</v>
      </c>
      <c r="D27" s="230">
        <f t="shared" si="2"/>
        <v>100</v>
      </c>
      <c r="E27" s="231"/>
      <c r="F27" s="74">
        <f ca="1">TblConstr[[#This Row],[Barren]]+TblConstr[[#This Row],[Buildings]]+TblConstr[[#This Row],[Incoming]]</f>
        <v>270</v>
      </c>
      <c r="G27" s="242">
        <f ca="1">OFFSET(TblConstr[[#This Row],[Plain]],-1,0)+TblConstr[[#This Row],[Ch_Plain]]</f>
        <v>0</v>
      </c>
      <c r="H27" s="236">
        <f ca="1">OFFSET(TblConstr[[#This Row],[Forest]],-1,0)+TblConstr[[#This Row],[Ch_Forest]]</f>
        <v>0</v>
      </c>
      <c r="I27" s="478">
        <f ca="1">OFFSET(TblConstr[[#This Row],[Mountain]],-1,0)+TblConstr[[#This Row],[Ch_Mountain]]</f>
        <v>0</v>
      </c>
      <c r="J27" s="482">
        <f ca="1">OFFSET(TblConstr[[#This Row],[Hill]],-1,0)+TblConstr[[#This Row],[Ch_Hill]]</f>
        <v>0</v>
      </c>
      <c r="K27" s="486">
        <f ca="1">OFFSET(TblConstr[[#This Row],[Swamp]],-1,0)+TblConstr[[#This Row],[Ch_Swamp]]</f>
        <v>0</v>
      </c>
      <c r="L27" s="239">
        <f ca="1">OFFSET(TblConstr[[#This Row],[Cavern]],-1,0)+TblConstr[[#This Row],[Ch_Cavern]]</f>
        <v>0</v>
      </c>
      <c r="M27" s="240">
        <f ca="1">OFFSET(TblConstr[[#This Row],[Water]],-1,0)+TblConstr[[#This Row],[Ch_Water]]</f>
        <v>0</v>
      </c>
      <c r="N27" s="476">
        <f>TblRezone[[#This Row],[Hour]]</f>
        <v>24</v>
      </c>
      <c r="O27" s="232"/>
      <c r="P27" s="204">
        <v>20</v>
      </c>
      <c r="Q27" s="232"/>
      <c r="R27" s="232"/>
      <c r="S27" s="232"/>
      <c r="T27" s="232"/>
      <c r="U27" s="232"/>
      <c r="V27" s="232"/>
      <c r="W27" s="232"/>
      <c r="X27" s="232"/>
      <c r="Y27" s="232"/>
      <c r="Z27" s="232"/>
      <c r="AA27" s="232"/>
      <c r="AB27" s="232"/>
      <c r="AC27" s="232"/>
      <c r="AD27" s="232"/>
      <c r="AE27" s="232"/>
      <c r="AF27" s="232"/>
      <c r="AG27" s="232"/>
      <c r="AH27" s="233">
        <f ca="1">TblImps[[#This Row],[Time]]</f>
        <v>44405.708333333278</v>
      </c>
      <c r="AI27" s="234">
        <f ca="1">MIN(25%,(TblConstr[[#This Row],[Tot Fac]]+TblConstr[[#This Row],[Dest Fac]])/(TblConstr[[#This Row],[Land]]-TblExplore[[#This Row],[Land Bonus]]*20))</f>
        <v>0.18</v>
      </c>
      <c r="AJ27" s="234">
        <f ca="1">MIN(25%,(TblConstr[[#This Row],[Tot Fac]]+TblConstr[[#This Row],[Dest Fac]])/TblConstr[[#This Row],[Land]])</f>
        <v>0.16666666666666666</v>
      </c>
      <c r="AK27" s="113">
        <f ca="1">TblProd[[#This Row],[Platinum]]</f>
        <v>26283</v>
      </c>
      <c r="AL27" s="113">
        <f ca="1">TblProd[[#This Row],[Lumber]]</f>
        <v>23748</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7" s="113">
        <f ca="1">ROUNDDOWN( MAX(1 - MIN(facs_constr_factor*TblConstr[[#This Row],[Facs -DB]],facs_constr_max) + tech_1_11*TblTech[[#This Row],[11-1]] + tech_6_3_2*TblTech[[#This Row],[6-3]] + tech_5_2_3*TblTech[[#This Row],[5-2]], 1-global_constr_cap) * TblConstr[[#This Row],[RCPA Lumber]],0)</f>
        <v>35</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7" s="113">
        <f ca="1">ROUNDDOWN( MAX(1 - MIN(facs_constr_factor*TblConstr[[#This Row],[Facs DB]],facs_constr_max) + tech_1_11*TblTech[[#This Row],[1-11]] + tech_6_3_2*TblTech[[#This Row],[6-3]] + tech_5_2_3*TblTech[[#This Row],[5-2]], 1-global_constr_cap) * TblConstr[[#This Row],[RCPA Lumber]],0)</f>
        <v>35</v>
      </c>
      <c r="AQ27" s="49">
        <f ca="1">TblConstr[[#This Row],[build -db]]*TblConstr[[#This Row],[CPA Platinum -DB]] + TblConstr[[#This Row],[build db]]*TblConstr[[#This Row],[CPA Platinum DB]]</f>
        <v>6800</v>
      </c>
      <c r="AR27" s="49">
        <f ca="1">TblConstr[[#This Row],[build -db]]*TblConstr[[#This Row],[CPA Lumber -DB]]+TblConstr[[#This Row],[build db]]*TblConstr[[#This Row],[CPA Lumber DB]]</f>
        <v>700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45</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15</v>
      </c>
      <c r="BM27" s="488" cm="1">
        <f t="array" aca="1" ref="BM27" ca="1">IF(TblConstr[[#This Row],[Hour]:[Hour]]&gt;12,OFFSET(TblConstr[[#This Row],[Tem]],-12,0),0)+OFFSET(TblConstr[[#This Row],[Tot Tem]],-1,0)-TblConstr[[#This Row],[Dest Tem]]</f>
        <v>20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270</v>
      </c>
      <c r="BU27" s="205">
        <f ca="1">TblImps[[#This Row],[Time]]</f>
        <v>44405.708333333278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20</v>
      </c>
      <c r="CY27" s="184"/>
      <c r="CZ27" s="113">
        <f t="shared" ca="1" si="3"/>
        <v>120</v>
      </c>
      <c r="DA27" s="113">
        <f t="shared" ca="1" si="4"/>
        <v>20</v>
      </c>
      <c r="DB27" s="49">
        <f t="shared" ca="1" si="5"/>
        <v>20</v>
      </c>
      <c r="DC27" s="113">
        <f t="shared" ca="1" si="6"/>
        <v>45</v>
      </c>
      <c r="DD27" s="113">
        <f t="shared" ca="1" si="7"/>
        <v>35</v>
      </c>
      <c r="DE27" s="49">
        <f t="shared" ca="1" si="8"/>
        <v>0</v>
      </c>
      <c r="DF27" s="113">
        <f t="shared" ca="1" si="9"/>
        <v>20</v>
      </c>
      <c r="DG27" s="113" cm="1">
        <f t="array" aca="1" ref="DG27" ca="1">INDEX(TblConstr[[Total Plain]:[Total Water]],ROW()-ROW(TblConstr[#Headers]),MATCH("Total "&amp;home_land,TblConstr[[#Headers],[Total Plain]:[Total Water]],0))+TblConstr[[#This Row],[Homes]]</f>
        <v>130</v>
      </c>
      <c r="DH27" s="49">
        <f t="shared" ca="1" si="10"/>
        <v>10</v>
      </c>
      <c r="DI27" s="49">
        <f t="shared" ca="1" si="0"/>
        <v>0</v>
      </c>
      <c r="DJ27" s="49">
        <f t="shared" ca="1" si="1"/>
        <v>0</v>
      </c>
    </row>
    <row r="28" spans="1:114" x14ac:dyDescent="0.2">
      <c r="A28" s="228">
        <f>TblRezone[[#This Row],[Hour]]</f>
        <v>25</v>
      </c>
      <c r="B28" s="229">
        <f ca="1">SUM(TblConstr[[#This Row],[Plain]:[Water]])</f>
        <v>0</v>
      </c>
      <c r="C28" s="230">
        <f ca="1">SUM(TblConstr[[#This Row],[Tot Hom]:[Tot Doc]])</f>
        <v>250</v>
      </c>
      <c r="D28" s="230">
        <f t="shared" si="2"/>
        <v>49</v>
      </c>
      <c r="E28" s="231"/>
      <c r="F28" s="74">
        <f ca="1">TblConstr[[#This Row],[Barren]]+TblConstr[[#This Row],[Buildings]]+TblConstr[[#This Row],[Incoming]]</f>
        <v>299</v>
      </c>
      <c r="G28" s="242">
        <f ca="1">OFFSET(TblConstr[[#This Row],[Plain]],-1,0)+TblConstr[[#This Row],[Ch_Plain]]</f>
        <v>0</v>
      </c>
      <c r="H28" s="236">
        <f ca="1">OFFSET(TblConstr[[#This Row],[Forest]],-1,0)+TblConstr[[#This Row],[Ch_Forest]]</f>
        <v>0</v>
      </c>
      <c r="I28" s="478">
        <f ca="1">OFFSET(TblConstr[[#This Row],[Mountain]],-1,0)+TblConstr[[#This Row],[Ch_Mountain]]</f>
        <v>0</v>
      </c>
      <c r="J28" s="482">
        <f ca="1">OFFSET(TblConstr[[#This Row],[Hill]],-1,0)+TblConstr[[#This Row],[Ch_Hill]]</f>
        <v>0</v>
      </c>
      <c r="K28" s="486">
        <f ca="1">OFFSET(TblConstr[[#This Row],[Swamp]],-1,0)+TblConstr[[#This Row],[Ch_Swamp]]</f>
        <v>0</v>
      </c>
      <c r="L28" s="239">
        <f ca="1">OFFSET(TblConstr[[#This Row],[Cavern]],-1,0)+TblConstr[[#This Row],[Ch_Cavern]]</f>
        <v>0</v>
      </c>
      <c r="M28" s="240">
        <f ca="1">OFFSET(TblConstr[[#This Row],[Water]],-1,0)+TblConstr[[#This Row],[Ch_Water]]</f>
        <v>0</v>
      </c>
      <c r="N28" s="476">
        <f>TblRezone[[#This Row],[Hour]]</f>
        <v>25</v>
      </c>
      <c r="O28" s="232"/>
      <c r="P28" s="232">
        <v>29</v>
      </c>
      <c r="Q28" s="232"/>
      <c r="R28" s="232"/>
      <c r="S28" s="232"/>
      <c r="T28" s="232"/>
      <c r="U28" s="232"/>
      <c r="V28" s="232"/>
      <c r="W28" s="232"/>
      <c r="X28" s="232"/>
      <c r="Y28" s="232"/>
      <c r="Z28" s="232"/>
      <c r="AA28" s="232"/>
      <c r="AB28" s="232"/>
      <c r="AC28" s="232"/>
      <c r="AD28" s="232"/>
      <c r="AE28" s="232"/>
      <c r="AF28" s="232"/>
      <c r="AG28" s="232"/>
      <c r="AH28" s="233">
        <f ca="1">TblImps[[#This Row],[Time]]</f>
        <v>44405.749999999942</v>
      </c>
      <c r="AI28" s="234">
        <f ca="1">MIN(25%,(TblConstr[[#This Row],[Tot Fac]]+TblConstr[[#This Row],[Dest Fac]])/(TblConstr[[#This Row],[Land]]-TblExplore[[#This Row],[Land Bonus]]*20))</f>
        <v>0.15050167224080269</v>
      </c>
      <c r="AJ28" s="234">
        <f ca="1">MIN(25%,(TblConstr[[#This Row],[Tot Fac]]+TblConstr[[#This Row],[Dest Fac]])/TblConstr[[#This Row],[Land]])</f>
        <v>0.15050167224080269</v>
      </c>
      <c r="AK28" s="113">
        <f ca="1">TblProd[[#This Row],[Platinum]]</f>
        <v>28117</v>
      </c>
      <c r="AL28" s="113">
        <f ca="1">TblProd[[#This Row],[Lumber]]</f>
        <v>23496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8" s="113">
        <f ca="1">ROUNDDOWN( MAX(1 - MIN(facs_constr_factor*TblConstr[[#This Row],[Facs -DB]],facs_constr_max) + tech_1_11*TblTech[[#This Row],[11-1]] + tech_6_3_2*TblTech[[#This Row],[6-3]] + tech_5_2_3*TblTech[[#This Row],[5-2]], 1-global_constr_cap) * TblConstr[[#This Row],[RCPA Lumber]],0)</f>
        <v>35</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8" s="113">
        <f ca="1">ROUNDDOWN( MAX(1 - MIN(facs_constr_factor*TblConstr[[#This Row],[Facs DB]],facs_constr_max) + tech_1_11*TblTech[[#This Row],[1-11]] + tech_6_3_2*TblTech[[#This Row],[6-3]] + tech_5_2_3*TblTech[[#This Row],[5-2]], 1-global_constr_cap) * TblConstr[[#This Row],[RCPA Lumber]],0)</f>
        <v>35</v>
      </c>
      <c r="AQ28" s="49">
        <f ca="1">TblConstr[[#This Row],[build -db]]*TblConstr[[#This Row],[CPA Platinum -DB]] + TblConstr[[#This Row],[build db]]*TblConstr[[#This Row],[CPA Platinum DB]]</f>
        <v>9860</v>
      </c>
      <c r="AR28" s="49">
        <f ca="1">TblConstr[[#This Row],[build -db]]*TblConstr[[#This Row],[CPA Lumber -DB]]+TblConstr[[#This Row],[build db]]*TblConstr[[#This Row],[CPA Lumber DB]]</f>
        <v>1015</v>
      </c>
      <c r="AS28" s="113">
        <f ca="1">MIN(SUM(OFFSET(TblConstr[[#This Row],[Plain]:[Water]],-1,0))+SUM(TblConstr[[#This Row],[Dest Hom]:[Dest Doc]])+IF(TblConstr[[#This Row],[Hour]]&gt;12,SUM(OFFSET(TblExplore[[#This Row],[Plains Explore]:[Water Explore]],-12,0)),0),SUM(TblConstr[[#This Row],[Hom]:[Doc]]))</f>
        <v>29</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70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20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45</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15</v>
      </c>
      <c r="BM28" s="488" cm="1">
        <f t="array" aca="1" ref="BM28" ca="1">IF(TblConstr[[#This Row],[Hour]:[Hour]]&gt;12,OFFSET(TblConstr[[#This Row],[Tem]],-12,0),0)+OFFSET(TblConstr[[#This Row],[Tot Tem]],-1,0)-TblConstr[[#This Row],[Dest Tem]]</f>
        <v>20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20</v>
      </c>
      <c r="BR28" s="184"/>
      <c r="BS28" s="200"/>
      <c r="BT28" s="113">
        <f ca="1">TblConstr[[#This Row],[Land]]</f>
        <v>299</v>
      </c>
      <c r="BU28" s="205">
        <f ca="1">TblImps[[#This Row],[Time]]</f>
        <v>44405.749999999942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149</v>
      </c>
      <c r="DA28" s="113">
        <f t="shared" ca="1" si="4"/>
        <v>20</v>
      </c>
      <c r="DB28" s="49">
        <f t="shared" ca="1" si="5"/>
        <v>20</v>
      </c>
      <c r="DC28" s="113">
        <f t="shared" ca="1" si="6"/>
        <v>45</v>
      </c>
      <c r="DD28" s="113">
        <f t="shared" ca="1" si="7"/>
        <v>35</v>
      </c>
      <c r="DE28" s="49">
        <f t="shared" ca="1" si="8"/>
        <v>0</v>
      </c>
      <c r="DF28" s="113">
        <f t="shared" ca="1" si="9"/>
        <v>20</v>
      </c>
      <c r="DG28" s="113" cm="1">
        <f t="array" aca="1" ref="DG28" ca="1">INDEX(TblConstr[[Total Plain]:[Total Water]],ROW()-ROW(TblConstr[#Headers]),MATCH("Total "&amp;home_land,TblConstr[[#Headers],[Total Plain]:[Total Water]],0))+TblConstr[[#This Row],[Homes]]</f>
        <v>159</v>
      </c>
      <c r="DH28" s="49">
        <f t="shared" ca="1" si="10"/>
        <v>10</v>
      </c>
      <c r="DI28" s="49">
        <f t="shared" ca="1" si="0"/>
        <v>0</v>
      </c>
      <c r="DJ28" s="49">
        <f t="shared" ca="1" si="1"/>
        <v>20</v>
      </c>
    </row>
    <row r="29" spans="1:114" x14ac:dyDescent="0.2">
      <c r="A29" s="228">
        <f>TblRezone[[#This Row],[Hour]]</f>
        <v>26</v>
      </c>
      <c r="B29" s="229">
        <f ca="1">SUM(TblConstr[[#This Row],[Plain]:[Water]])</f>
        <v>0</v>
      </c>
      <c r="C29" s="230">
        <f ca="1">SUM(TblConstr[[#This Row],[Tot Hom]:[Tot Doc]])</f>
        <v>250</v>
      </c>
      <c r="D29" s="230">
        <f t="shared" si="2"/>
        <v>49</v>
      </c>
      <c r="E29" s="231"/>
      <c r="F29" s="74">
        <f ca="1">TblConstr[[#This Row],[Barren]]+TblConstr[[#This Row],[Buildings]]+TblConstr[[#This Row],[Incoming]]</f>
        <v>299</v>
      </c>
      <c r="G29" s="242">
        <f ca="1">OFFSET(TblConstr[[#This Row],[Plain]],-1,0)+TblConstr[[#This Row],[Ch_Plain]]</f>
        <v>0</v>
      </c>
      <c r="H29" s="236">
        <f ca="1">OFFSET(TblConstr[[#This Row],[Forest]],-1,0)+TblConstr[[#This Row],[Ch_Forest]]</f>
        <v>0</v>
      </c>
      <c r="I29" s="478">
        <f ca="1">OFFSET(TblConstr[[#This Row],[Mountain]],-1,0)+TblConstr[[#This Row],[Ch_Mountain]]</f>
        <v>0</v>
      </c>
      <c r="J29" s="482">
        <f ca="1">OFFSET(TblConstr[[#This Row],[Hill]],-1,0)+TblConstr[[#This Row],[Ch_Hill]]</f>
        <v>0</v>
      </c>
      <c r="K29" s="486">
        <f ca="1">OFFSET(TblConstr[[#This Row],[Swamp]],-1,0)+TblConstr[[#This Row],[Ch_Swamp]]</f>
        <v>0</v>
      </c>
      <c r="L29" s="239">
        <f ca="1">OFFSET(TblConstr[[#This Row],[Cavern]],-1,0)+TblConstr[[#This Row],[Ch_Cavern]]</f>
        <v>0</v>
      </c>
      <c r="M29" s="240">
        <f ca="1">OFFSET(TblConstr[[#This Row],[Water]],-1,0)+TblConstr[[#This Row],[Ch_Water]]</f>
        <v>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44405.791666666606</v>
      </c>
      <c r="AI29" s="234">
        <f ca="1">MIN(25%,(TblConstr[[#This Row],[Tot Fac]]+TblConstr[[#This Row],[Dest Fac]])/(TblConstr[[#This Row],[Land]]-TblExplore[[#This Row],[Land Bonus]]*20))</f>
        <v>0.15050167224080269</v>
      </c>
      <c r="AJ29" s="234">
        <f ca="1">MIN(25%,(TblConstr[[#This Row],[Tot Fac]]+TblConstr[[#This Row],[Dest Fac]])/TblConstr[[#This Row],[Land]])</f>
        <v>0.15050167224080269</v>
      </c>
      <c r="AK29" s="113">
        <f ca="1">TblProd[[#This Row],[Platinum]]</f>
        <v>40192</v>
      </c>
      <c r="AL29" s="113">
        <f ca="1">TblProd[[#This Row],[Lumber]]</f>
        <v>24261</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9" s="113">
        <f ca="1">ROUNDDOWN( MAX(1 - MIN(facs_constr_factor*TblConstr[[#This Row],[Facs -DB]],facs_constr_max) + tech_1_11*TblTech[[#This Row],[11-1]] + tech_6_3_2*TblTech[[#This Row],[6-3]] + tech_5_2_3*TblTech[[#This Row],[5-2]], 1-global_constr_cap) * TblConstr[[#This Row],[RCPA Lumber]],0)</f>
        <v>35</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9" s="113">
        <f ca="1">ROUNDDOWN( MAX(1 - MIN(facs_constr_factor*TblConstr[[#This Row],[Facs DB]],facs_constr_max) + tech_1_11*TblTech[[#This Row],[1-11]] + tech_6_3_2*TblTech[[#This Row],[6-3]] + tech_5_2_3*TblTech[[#This Row],[5-2]], 1-global_constr_cap) * TblConstr[[#This Row],[RCPA Lumber]],0)</f>
        <v>35</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70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20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45</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15</v>
      </c>
      <c r="BM29" s="488" cm="1">
        <f t="array" aca="1" ref="BM29" ca="1">IF(TblConstr[[#This Row],[Hour]:[Hour]]&gt;12,OFFSET(TblConstr[[#This Row],[Tem]],-12,0),0)+OFFSET(TblConstr[[#This Row],[Tot Tem]],-1,0)-TblConstr[[#This Row],[Dest Tem]]</f>
        <v>20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20</v>
      </c>
      <c r="BR29" s="184"/>
      <c r="BS29" s="200"/>
      <c r="BT29" s="113">
        <f ca="1">TblConstr[[#This Row],[Land]]</f>
        <v>299</v>
      </c>
      <c r="BU29" s="205">
        <f ca="1">TblImps[[#This Row],[Time]]</f>
        <v>44405.791666666606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149</v>
      </c>
      <c r="DA29" s="113">
        <f t="shared" ca="1" si="4"/>
        <v>20</v>
      </c>
      <c r="DB29" s="49">
        <f t="shared" ca="1" si="5"/>
        <v>20</v>
      </c>
      <c r="DC29" s="113">
        <f t="shared" ca="1" si="6"/>
        <v>45</v>
      </c>
      <c r="DD29" s="113">
        <f t="shared" ca="1" si="7"/>
        <v>35</v>
      </c>
      <c r="DE29" s="49">
        <f t="shared" ca="1" si="8"/>
        <v>0</v>
      </c>
      <c r="DF29" s="113">
        <f t="shared" ca="1" si="9"/>
        <v>20</v>
      </c>
      <c r="DG29" s="113" cm="1">
        <f t="array" aca="1" ref="DG29" ca="1">INDEX(TblConstr[[Total Plain]:[Total Water]],ROW()-ROW(TblConstr[#Headers]),MATCH("Total "&amp;home_land,TblConstr[[#Headers],[Total Plain]:[Total Water]],0))+TblConstr[[#This Row],[Homes]]</f>
        <v>159</v>
      </c>
      <c r="DH29" s="49">
        <f t="shared" ca="1" si="10"/>
        <v>10</v>
      </c>
      <c r="DI29" s="49">
        <f t="shared" ca="1" si="0"/>
        <v>0</v>
      </c>
      <c r="DJ29" s="49">
        <f t="shared" ca="1" si="1"/>
        <v>0</v>
      </c>
    </row>
    <row r="30" spans="1:114" x14ac:dyDescent="0.2">
      <c r="A30" s="228">
        <f>TblRezone[[#This Row],[Hour]]</f>
        <v>27</v>
      </c>
      <c r="B30" s="229">
        <f ca="1">SUM(TblConstr[[#This Row],[Plain]:[Water]])</f>
        <v>0</v>
      </c>
      <c r="C30" s="230">
        <f ca="1">SUM(TblConstr[[#This Row],[Tot Hom]:[Tot Doc]])</f>
        <v>250</v>
      </c>
      <c r="D30" s="230">
        <f t="shared" si="2"/>
        <v>49</v>
      </c>
      <c r="E30" s="231"/>
      <c r="F30" s="74">
        <f ca="1">TblConstr[[#This Row],[Barren]]+TblConstr[[#This Row],[Buildings]]+TblConstr[[#This Row],[Incoming]]</f>
        <v>299</v>
      </c>
      <c r="G30" s="242">
        <f ca="1">OFFSET(TblConstr[[#This Row],[Plain]],-1,0)+TblConstr[[#This Row],[Ch_Plain]]</f>
        <v>0</v>
      </c>
      <c r="H30" s="236">
        <f ca="1">OFFSET(TblConstr[[#This Row],[Forest]],-1,0)+TblConstr[[#This Row],[Ch_Forest]]</f>
        <v>0</v>
      </c>
      <c r="I30" s="478">
        <f ca="1">OFFSET(TblConstr[[#This Row],[Mountain]],-1,0)+TblConstr[[#This Row],[Ch_Mountain]]</f>
        <v>0</v>
      </c>
      <c r="J30" s="482">
        <f ca="1">OFFSET(TblConstr[[#This Row],[Hill]],-1,0)+TblConstr[[#This Row],[Ch_Hill]]</f>
        <v>0</v>
      </c>
      <c r="K30" s="486">
        <f ca="1">OFFSET(TblConstr[[#This Row],[Swamp]],-1,0)+TblConstr[[#This Row],[Ch_Swamp]]</f>
        <v>0</v>
      </c>
      <c r="L30" s="239">
        <f ca="1">OFFSET(TblConstr[[#This Row],[Cavern]],-1,0)+TblConstr[[#This Row],[Ch_Cavern]]</f>
        <v>0</v>
      </c>
      <c r="M30" s="240">
        <f ca="1">OFFSET(TblConstr[[#This Row],[Water]],-1,0)+TblConstr[[#This Row],[Ch_Water]]</f>
        <v>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44405.83333333327</v>
      </c>
      <c r="AI30" s="234">
        <f ca="1">MIN(25%,(TblConstr[[#This Row],[Tot Fac]]+TblConstr[[#This Row],[Dest Fac]])/(TblConstr[[#This Row],[Land]]-TblExplore[[#This Row],[Land Bonus]]*20))</f>
        <v>0.15050167224080269</v>
      </c>
      <c r="AJ30" s="234">
        <f ca="1">MIN(25%,(TblConstr[[#This Row],[Tot Fac]]+TblConstr[[#This Row],[Dest Fac]])/TblConstr[[#This Row],[Land]])</f>
        <v>0.15050167224080269</v>
      </c>
      <c r="AK30" s="113">
        <f ca="1">TblProd[[#This Row],[Platinum]]</f>
        <v>52667</v>
      </c>
      <c r="AL30" s="113">
        <f ca="1">TblProd[[#This Row],[Lumber]]</f>
        <v>25018</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0" s="113">
        <f ca="1">ROUNDDOWN( MAX(1 - MIN(facs_constr_factor*TblConstr[[#This Row],[Facs -DB]],facs_constr_max) + tech_1_11*TblTech[[#This Row],[11-1]] + tech_6_3_2*TblTech[[#This Row],[6-3]] + tech_5_2_3*TblTech[[#This Row],[5-2]], 1-global_constr_cap) * TblConstr[[#This Row],[RCPA Lumber]],0)</f>
        <v>35</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0" s="113">
        <f ca="1">ROUNDDOWN( MAX(1 - MIN(facs_constr_factor*TblConstr[[#This Row],[Facs DB]],facs_constr_max) + tech_1_11*TblTech[[#This Row],[1-11]] + tech_6_3_2*TblTech[[#This Row],[6-3]] + tech_5_2_3*TblTech[[#This Row],[5-2]], 1-global_constr_cap) * TblConstr[[#This Row],[RCPA Lumber]],0)</f>
        <v>35</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70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20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45</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15</v>
      </c>
      <c r="BM30" s="488" cm="1">
        <f t="array" aca="1" ref="BM30" ca="1">IF(TblConstr[[#This Row],[Hour]:[Hour]]&gt;12,OFFSET(TblConstr[[#This Row],[Tem]],-12,0),0)+OFFSET(TblConstr[[#This Row],[Tot Tem]],-1,0)-TblConstr[[#This Row],[Dest Tem]]</f>
        <v>20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20</v>
      </c>
      <c r="BR30" s="184"/>
      <c r="BS30" s="200"/>
      <c r="BT30" s="113">
        <f ca="1">TblConstr[[#This Row],[Land]]</f>
        <v>299</v>
      </c>
      <c r="BU30" s="205">
        <f ca="1">TblImps[[#This Row],[Time]]</f>
        <v>44405.83333333327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149</v>
      </c>
      <c r="DA30" s="113">
        <f t="shared" ca="1" si="4"/>
        <v>20</v>
      </c>
      <c r="DB30" s="49">
        <f t="shared" ca="1" si="5"/>
        <v>20</v>
      </c>
      <c r="DC30" s="113">
        <f t="shared" ca="1" si="6"/>
        <v>45</v>
      </c>
      <c r="DD30" s="113">
        <f t="shared" ca="1" si="7"/>
        <v>35</v>
      </c>
      <c r="DE30" s="49">
        <f t="shared" ca="1" si="8"/>
        <v>0</v>
      </c>
      <c r="DF30" s="113">
        <f t="shared" ca="1" si="9"/>
        <v>20</v>
      </c>
      <c r="DG30" s="113" cm="1">
        <f t="array" aca="1" ref="DG30" ca="1">INDEX(TblConstr[[Total Plain]:[Total Water]],ROW()-ROW(TblConstr[#Headers]),MATCH("Total "&amp;home_land,TblConstr[[#Headers],[Total Plain]:[Total Water]],0))+TblConstr[[#This Row],[Homes]]</f>
        <v>159</v>
      </c>
      <c r="DH30" s="49">
        <f t="shared" ca="1" si="10"/>
        <v>10</v>
      </c>
      <c r="DI30" s="49">
        <f t="shared" ca="1" si="0"/>
        <v>0</v>
      </c>
      <c r="DJ30" s="49">
        <f t="shared" ca="1" si="1"/>
        <v>0</v>
      </c>
    </row>
    <row r="31" spans="1:114" x14ac:dyDescent="0.2">
      <c r="A31" s="228">
        <f>TblRezone[[#This Row],[Hour]]</f>
        <v>28</v>
      </c>
      <c r="B31" s="229">
        <f ca="1">SUM(TblConstr[[#This Row],[Plain]:[Water]])</f>
        <v>0</v>
      </c>
      <c r="C31" s="230">
        <f ca="1">SUM(TblConstr[[#This Row],[Tot Hom]:[Tot Doc]])</f>
        <v>250</v>
      </c>
      <c r="D31" s="230">
        <f t="shared" si="2"/>
        <v>49</v>
      </c>
      <c r="E31" s="231"/>
      <c r="F31" s="74">
        <f ca="1">TblConstr[[#This Row],[Barren]]+TblConstr[[#This Row],[Buildings]]+TblConstr[[#This Row],[Incoming]]</f>
        <v>299</v>
      </c>
      <c r="G31" s="242">
        <f ca="1">OFFSET(TblConstr[[#This Row],[Plain]],-1,0)+TblConstr[[#This Row],[Ch_Plain]]</f>
        <v>0</v>
      </c>
      <c r="H31" s="236">
        <f ca="1">OFFSET(TblConstr[[#This Row],[Forest]],-1,0)+TblConstr[[#This Row],[Ch_Forest]]</f>
        <v>0</v>
      </c>
      <c r="I31" s="478">
        <f ca="1">OFFSET(TblConstr[[#This Row],[Mountain]],-1,0)+TblConstr[[#This Row],[Ch_Mountain]]</f>
        <v>0</v>
      </c>
      <c r="J31" s="482">
        <f ca="1">OFFSET(TblConstr[[#This Row],[Hill]],-1,0)+TblConstr[[#This Row],[Ch_Hill]]</f>
        <v>0</v>
      </c>
      <c r="K31" s="486">
        <f ca="1">OFFSET(TblConstr[[#This Row],[Swamp]],-1,0)+TblConstr[[#This Row],[Ch_Swamp]]</f>
        <v>0</v>
      </c>
      <c r="L31" s="239">
        <f ca="1">OFFSET(TblConstr[[#This Row],[Cavern]],-1,0)+TblConstr[[#This Row],[Ch_Cavern]]</f>
        <v>0</v>
      </c>
      <c r="M31" s="240">
        <f ca="1">OFFSET(TblConstr[[#This Row],[Water]],-1,0)+TblConstr[[#This Row],[Ch_Water]]</f>
        <v>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44405.874999999935</v>
      </c>
      <c r="AI31" s="234">
        <f ca="1">MIN(25%,(TblConstr[[#This Row],[Tot Fac]]+TblConstr[[#This Row],[Dest Fac]])/(TblConstr[[#This Row],[Land]]-TblExplore[[#This Row],[Land Bonus]]*20))</f>
        <v>0.15050167224080269</v>
      </c>
      <c r="AJ31" s="234">
        <f ca="1">MIN(25%,(TblConstr[[#This Row],[Tot Fac]]+TblConstr[[#This Row],[Dest Fac]])/TblConstr[[#This Row],[Land]])</f>
        <v>0.15050167224080269</v>
      </c>
      <c r="AK31" s="113">
        <f ca="1">TblProd[[#This Row],[Platinum]]</f>
        <v>65561</v>
      </c>
      <c r="AL31" s="113">
        <f ca="1">TblProd[[#This Row],[Lumber]]</f>
        <v>25768</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1" s="113">
        <f ca="1">ROUNDDOWN( MAX(1 - MIN(facs_constr_factor*TblConstr[[#This Row],[Facs -DB]],facs_constr_max) + tech_1_11*TblTech[[#This Row],[11-1]] + tech_6_3_2*TblTech[[#This Row],[6-3]] + tech_5_2_3*TblTech[[#This Row],[5-2]], 1-global_constr_cap) * TblConstr[[#This Row],[RCPA Lumber]],0)</f>
        <v>35</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1" s="113">
        <f ca="1">ROUNDDOWN( MAX(1 - MIN(facs_constr_factor*TblConstr[[#This Row],[Facs DB]],facs_constr_max) + tech_1_11*TblTech[[#This Row],[1-11]] + tech_6_3_2*TblTech[[#This Row],[6-3]] + tech_5_2_3*TblTech[[#This Row],[5-2]], 1-global_constr_cap) * TblConstr[[#This Row],[RCPA Lumber]],0)</f>
        <v>35</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70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20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45</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15</v>
      </c>
      <c r="BM31" s="488" cm="1">
        <f t="array" aca="1" ref="BM31" ca="1">IF(TblConstr[[#This Row],[Hour]:[Hour]]&gt;12,OFFSET(TblConstr[[#This Row],[Tem]],-12,0),0)+OFFSET(TblConstr[[#This Row],[Tot Tem]],-1,0)-TblConstr[[#This Row],[Dest Tem]]</f>
        <v>20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20</v>
      </c>
      <c r="BR31" s="184"/>
      <c r="BS31" s="200"/>
      <c r="BT31" s="113">
        <f ca="1">TblConstr[[#This Row],[Land]]</f>
        <v>299</v>
      </c>
      <c r="BU31" s="205">
        <f ca="1">TblImps[[#This Row],[Time]]</f>
        <v>44405.874999999935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149</v>
      </c>
      <c r="DA31" s="113">
        <f t="shared" ca="1" si="4"/>
        <v>20</v>
      </c>
      <c r="DB31" s="49">
        <f t="shared" ca="1" si="5"/>
        <v>20</v>
      </c>
      <c r="DC31" s="113">
        <f t="shared" ca="1" si="6"/>
        <v>45</v>
      </c>
      <c r="DD31" s="113">
        <f t="shared" ca="1" si="7"/>
        <v>35</v>
      </c>
      <c r="DE31" s="49">
        <f t="shared" ca="1" si="8"/>
        <v>0</v>
      </c>
      <c r="DF31" s="113">
        <f t="shared" ca="1" si="9"/>
        <v>20</v>
      </c>
      <c r="DG31" s="113" cm="1">
        <f t="array" aca="1" ref="DG31" ca="1">INDEX(TblConstr[[Total Plain]:[Total Water]],ROW()-ROW(TblConstr[#Headers]),MATCH("Total "&amp;home_land,TblConstr[[#Headers],[Total Plain]:[Total Water]],0))+TblConstr[[#This Row],[Homes]]</f>
        <v>159</v>
      </c>
      <c r="DH31" s="49">
        <f t="shared" ca="1" si="10"/>
        <v>10</v>
      </c>
      <c r="DI31" s="49">
        <f t="shared" ca="1" si="0"/>
        <v>0</v>
      </c>
      <c r="DJ31" s="49">
        <f t="shared" ca="1" si="1"/>
        <v>0</v>
      </c>
    </row>
    <row r="32" spans="1:114" x14ac:dyDescent="0.2">
      <c r="A32" s="228">
        <f>TblRezone[[#This Row],[Hour]]</f>
        <v>29</v>
      </c>
      <c r="B32" s="229">
        <f ca="1">SUM(TblConstr[[#This Row],[Plain]:[Water]])</f>
        <v>0</v>
      </c>
      <c r="C32" s="230">
        <f ca="1">SUM(TblConstr[[#This Row],[Tot Hom]:[Tot Doc]])</f>
        <v>250</v>
      </c>
      <c r="D32" s="230">
        <f t="shared" si="2"/>
        <v>49</v>
      </c>
      <c r="E32" s="231"/>
      <c r="F32" s="74">
        <f ca="1">TblConstr[[#This Row],[Barren]]+TblConstr[[#This Row],[Buildings]]+TblConstr[[#This Row],[Incoming]]</f>
        <v>299</v>
      </c>
      <c r="G32" s="242">
        <f ca="1">OFFSET(TblConstr[[#This Row],[Plain]],-1,0)+TblConstr[[#This Row],[Ch_Plain]]</f>
        <v>0</v>
      </c>
      <c r="H32" s="236">
        <f ca="1">OFFSET(TblConstr[[#This Row],[Forest]],-1,0)+TblConstr[[#This Row],[Ch_Forest]]</f>
        <v>0</v>
      </c>
      <c r="I32" s="478">
        <f ca="1">OFFSET(TblConstr[[#This Row],[Mountain]],-1,0)+TblConstr[[#This Row],[Ch_Mountain]]</f>
        <v>0</v>
      </c>
      <c r="J32" s="482">
        <f ca="1">OFFSET(TblConstr[[#This Row],[Hill]],-1,0)+TblConstr[[#This Row],[Ch_Hill]]</f>
        <v>0</v>
      </c>
      <c r="K32" s="486">
        <f ca="1">OFFSET(TblConstr[[#This Row],[Swamp]],-1,0)+TblConstr[[#This Row],[Ch_Swamp]]</f>
        <v>0</v>
      </c>
      <c r="L32" s="239">
        <f ca="1">OFFSET(TblConstr[[#This Row],[Cavern]],-1,0)+TblConstr[[#This Row],[Ch_Cavern]]</f>
        <v>0</v>
      </c>
      <c r="M32" s="240">
        <f ca="1">OFFSET(TblConstr[[#This Row],[Water]],-1,0)+TblConstr[[#This Row],[Ch_Water]]</f>
        <v>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44405.916666666599</v>
      </c>
      <c r="AI32" s="234">
        <f ca="1">MIN(25%,(TblConstr[[#This Row],[Tot Fac]]+TblConstr[[#This Row],[Dest Fac]])/(TblConstr[[#This Row],[Land]]-TblExplore[[#This Row],[Land Bonus]]*20))</f>
        <v>0.15050167224080269</v>
      </c>
      <c r="AJ32" s="234">
        <f ca="1">MIN(25%,(TblConstr[[#This Row],[Tot Fac]]+TblConstr[[#This Row],[Dest Fac]])/TblConstr[[#This Row],[Land]])</f>
        <v>0.15050167224080269</v>
      </c>
      <c r="AK32" s="113">
        <f ca="1">TblProd[[#This Row],[Platinum]]</f>
        <v>78892</v>
      </c>
      <c r="AL32" s="113">
        <f ca="1">TblProd[[#This Row],[Lumber]]</f>
        <v>26510</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2" s="113">
        <f ca="1">ROUNDDOWN( MAX(1 - MIN(facs_constr_factor*TblConstr[[#This Row],[Facs -DB]],facs_constr_max) + tech_1_11*TblTech[[#This Row],[11-1]] + tech_6_3_2*TblTech[[#This Row],[6-3]] + tech_5_2_3*TblTech[[#This Row],[5-2]], 1-global_constr_cap) * TblConstr[[#This Row],[RCPA Lumber]],0)</f>
        <v>35</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2" s="113">
        <f ca="1">ROUNDDOWN( MAX(1 - MIN(facs_constr_factor*TblConstr[[#This Row],[Facs DB]],facs_constr_max) + tech_1_11*TblTech[[#This Row],[1-11]] + tech_6_3_2*TblTech[[#This Row],[6-3]] + tech_5_2_3*TblTech[[#This Row],[5-2]], 1-global_constr_cap) * TblConstr[[#This Row],[RCPA Lumber]],0)</f>
        <v>35</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70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20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45</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15</v>
      </c>
      <c r="BM32" s="488" cm="1">
        <f t="array" aca="1" ref="BM32" ca="1">IF(TblConstr[[#This Row],[Hour]:[Hour]]&gt;12,OFFSET(TblConstr[[#This Row],[Tem]],-12,0),0)+OFFSET(TblConstr[[#This Row],[Tot Tem]],-1,0)-TblConstr[[#This Row],[Dest Tem]]</f>
        <v>20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20</v>
      </c>
      <c r="BR32" s="184"/>
      <c r="BS32" s="200"/>
      <c r="BT32" s="113">
        <f ca="1">TblConstr[[#This Row],[Land]]</f>
        <v>299</v>
      </c>
      <c r="BU32" s="205">
        <f ca="1">TblImps[[#This Row],[Time]]</f>
        <v>44405.916666666599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149</v>
      </c>
      <c r="DA32" s="113">
        <f t="shared" ca="1" si="4"/>
        <v>20</v>
      </c>
      <c r="DB32" s="49">
        <f t="shared" ca="1" si="5"/>
        <v>20</v>
      </c>
      <c r="DC32" s="113">
        <f t="shared" ca="1" si="6"/>
        <v>45</v>
      </c>
      <c r="DD32" s="113">
        <f t="shared" ca="1" si="7"/>
        <v>35</v>
      </c>
      <c r="DE32" s="49">
        <f t="shared" ca="1" si="8"/>
        <v>0</v>
      </c>
      <c r="DF32" s="113">
        <f t="shared" ca="1" si="9"/>
        <v>20</v>
      </c>
      <c r="DG32" s="113" cm="1">
        <f t="array" aca="1" ref="DG32" ca="1">INDEX(TblConstr[[Total Plain]:[Total Water]],ROW()-ROW(TblConstr[#Headers]),MATCH("Total "&amp;home_land,TblConstr[[#Headers],[Total Plain]:[Total Water]],0))+TblConstr[[#This Row],[Homes]]</f>
        <v>159</v>
      </c>
      <c r="DH32" s="49">
        <f t="shared" ca="1" si="10"/>
        <v>10</v>
      </c>
      <c r="DI32" s="49">
        <f t="shared" ca="1" si="0"/>
        <v>0</v>
      </c>
      <c r="DJ32" s="49">
        <f t="shared" ca="1" si="1"/>
        <v>0</v>
      </c>
    </row>
    <row r="33" spans="1:114" x14ac:dyDescent="0.2">
      <c r="A33" s="228">
        <f>TblRezone[[#This Row],[Hour]]</f>
        <v>30</v>
      </c>
      <c r="B33" s="229">
        <f ca="1">SUM(TblConstr[[#This Row],[Plain]:[Water]])</f>
        <v>0</v>
      </c>
      <c r="C33" s="230">
        <f ca="1">SUM(TblConstr[[#This Row],[Tot Hom]:[Tot Doc]])</f>
        <v>250</v>
      </c>
      <c r="D33" s="230">
        <f t="shared" si="2"/>
        <v>49</v>
      </c>
      <c r="E33" s="231"/>
      <c r="F33" s="74">
        <f ca="1">TblConstr[[#This Row],[Barren]]+TblConstr[[#This Row],[Buildings]]+TblConstr[[#This Row],[Incoming]]</f>
        <v>299</v>
      </c>
      <c r="G33" s="242">
        <f ca="1">OFFSET(TblConstr[[#This Row],[Plain]],-1,0)+TblConstr[[#This Row],[Ch_Plain]]</f>
        <v>0</v>
      </c>
      <c r="H33" s="236">
        <f ca="1">OFFSET(TblConstr[[#This Row],[Forest]],-1,0)+TblConstr[[#This Row],[Ch_Forest]]</f>
        <v>0</v>
      </c>
      <c r="I33" s="478">
        <f ca="1">OFFSET(TblConstr[[#This Row],[Mountain]],-1,0)+TblConstr[[#This Row],[Ch_Mountain]]</f>
        <v>0</v>
      </c>
      <c r="J33" s="482">
        <f ca="1">OFFSET(TblConstr[[#This Row],[Hill]],-1,0)+TblConstr[[#This Row],[Ch_Hill]]</f>
        <v>0</v>
      </c>
      <c r="K33" s="486">
        <f ca="1">OFFSET(TblConstr[[#This Row],[Swamp]],-1,0)+TblConstr[[#This Row],[Ch_Swamp]]</f>
        <v>0</v>
      </c>
      <c r="L33" s="239">
        <f ca="1">OFFSET(TblConstr[[#This Row],[Cavern]],-1,0)+TblConstr[[#This Row],[Ch_Cavern]]</f>
        <v>0</v>
      </c>
      <c r="M33" s="240">
        <f ca="1">OFFSET(TblConstr[[#This Row],[Water]],-1,0)+TblConstr[[#This Row],[Ch_Water]]</f>
        <v>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44405.958333333263</v>
      </c>
      <c r="AI33" s="234">
        <f ca="1">MIN(25%,(TblConstr[[#This Row],[Tot Fac]]+TblConstr[[#This Row],[Dest Fac]])/(TblConstr[[#This Row],[Land]]-TblExplore[[#This Row],[Land Bonus]]*20))</f>
        <v>0.15050167224080269</v>
      </c>
      <c r="AJ33" s="234">
        <f ca="1">MIN(25%,(TblConstr[[#This Row],[Tot Fac]]+TblConstr[[#This Row],[Dest Fac]])/TblConstr[[#This Row],[Land]])</f>
        <v>0.15050167224080269</v>
      </c>
      <c r="AK33" s="113">
        <f ca="1">TblProd[[#This Row],[Platinum]]</f>
        <v>92683</v>
      </c>
      <c r="AL33" s="113">
        <f ca="1">TblProd[[#This Row],[Lumber]]</f>
        <v>27245</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3" s="113">
        <f ca="1">ROUNDDOWN( MAX(1 - MIN(facs_constr_factor*TblConstr[[#This Row],[Facs -DB]],facs_constr_max) + tech_1_11*TblTech[[#This Row],[11-1]] + tech_6_3_2*TblTech[[#This Row],[6-3]] + tech_5_2_3*TblTech[[#This Row],[5-2]], 1-global_constr_cap) * TblConstr[[#This Row],[RCPA Lumber]],0)</f>
        <v>35</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3" s="113">
        <f ca="1">ROUNDDOWN( MAX(1 - MIN(facs_constr_factor*TblConstr[[#This Row],[Facs DB]],facs_constr_max) + tech_1_11*TblTech[[#This Row],[1-11]] + tech_6_3_2*TblTech[[#This Row],[6-3]] + tech_5_2_3*TblTech[[#This Row],[5-2]], 1-global_constr_cap) * TblConstr[[#This Row],[RCPA Lumber]],0)</f>
        <v>35</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70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20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45</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15</v>
      </c>
      <c r="BM33" s="488" cm="1">
        <f t="array" aca="1" ref="BM33" ca="1">IF(TblConstr[[#This Row],[Hour]:[Hour]]&gt;12,OFFSET(TblConstr[[#This Row],[Tem]],-12,0),0)+OFFSET(TblConstr[[#This Row],[Tot Tem]],-1,0)-TblConstr[[#This Row],[Dest Tem]]</f>
        <v>20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20</v>
      </c>
      <c r="BR33" s="184"/>
      <c r="BS33" s="200"/>
      <c r="BT33" s="113">
        <f ca="1">TblConstr[[#This Row],[Land]]</f>
        <v>299</v>
      </c>
      <c r="BU33" s="205">
        <f ca="1">TblImps[[#This Row],[Time]]</f>
        <v>44405.958333333263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149</v>
      </c>
      <c r="DA33" s="113">
        <f t="shared" ca="1" si="4"/>
        <v>20</v>
      </c>
      <c r="DB33" s="49">
        <f t="shared" ca="1" si="5"/>
        <v>20</v>
      </c>
      <c r="DC33" s="113">
        <f t="shared" ca="1" si="6"/>
        <v>45</v>
      </c>
      <c r="DD33" s="113">
        <f t="shared" ca="1" si="7"/>
        <v>35</v>
      </c>
      <c r="DE33" s="49">
        <f t="shared" ca="1" si="8"/>
        <v>0</v>
      </c>
      <c r="DF33" s="113">
        <f t="shared" ca="1" si="9"/>
        <v>20</v>
      </c>
      <c r="DG33" s="113" cm="1">
        <f t="array" aca="1" ref="DG33" ca="1">INDEX(TblConstr[[Total Plain]:[Total Water]],ROW()-ROW(TblConstr[#Headers]),MATCH("Total "&amp;home_land,TblConstr[[#Headers],[Total Plain]:[Total Water]],0))+TblConstr[[#This Row],[Homes]]</f>
        <v>159</v>
      </c>
      <c r="DH33" s="49">
        <f t="shared" ca="1" si="10"/>
        <v>10</v>
      </c>
      <c r="DI33" s="49">
        <f t="shared" ca="1" si="0"/>
        <v>0</v>
      </c>
      <c r="DJ33" s="49">
        <f t="shared" ca="1" si="1"/>
        <v>0</v>
      </c>
    </row>
    <row r="34" spans="1:114" x14ac:dyDescent="0.2">
      <c r="A34" s="228">
        <f>TblRezone[[#This Row],[Hour]]</f>
        <v>31</v>
      </c>
      <c r="B34" s="229">
        <f ca="1">SUM(TblConstr[[#This Row],[Plain]:[Water]])</f>
        <v>0</v>
      </c>
      <c r="C34" s="230">
        <f ca="1">SUM(TblConstr[[#This Row],[Tot Hom]:[Tot Doc]])</f>
        <v>250</v>
      </c>
      <c r="D34" s="230">
        <f t="shared" si="2"/>
        <v>49</v>
      </c>
      <c r="E34" s="231"/>
      <c r="F34" s="74">
        <f ca="1">TblConstr[[#This Row],[Barren]]+TblConstr[[#This Row],[Buildings]]+TblConstr[[#This Row],[Incoming]]</f>
        <v>299</v>
      </c>
      <c r="G34" s="242">
        <f ca="1">OFFSET(TblConstr[[#This Row],[Plain]],-1,0)+TblConstr[[#This Row],[Ch_Plain]]</f>
        <v>0</v>
      </c>
      <c r="H34" s="236">
        <f ca="1">OFFSET(TblConstr[[#This Row],[Forest]],-1,0)+TblConstr[[#This Row],[Ch_Forest]]</f>
        <v>0</v>
      </c>
      <c r="I34" s="478">
        <f ca="1">OFFSET(TblConstr[[#This Row],[Mountain]],-1,0)+TblConstr[[#This Row],[Ch_Mountain]]</f>
        <v>0</v>
      </c>
      <c r="J34" s="482">
        <f ca="1">OFFSET(TblConstr[[#This Row],[Hill]],-1,0)+TblConstr[[#This Row],[Ch_Hill]]</f>
        <v>0</v>
      </c>
      <c r="K34" s="486">
        <f ca="1">OFFSET(TblConstr[[#This Row],[Swamp]],-1,0)+TblConstr[[#This Row],[Ch_Swamp]]</f>
        <v>0</v>
      </c>
      <c r="L34" s="239">
        <f ca="1">OFFSET(TblConstr[[#This Row],[Cavern]],-1,0)+TblConstr[[#This Row],[Ch_Cavern]]</f>
        <v>0</v>
      </c>
      <c r="M34" s="240">
        <f ca="1">OFFSET(TblConstr[[#This Row],[Water]],-1,0)+TblConstr[[#This Row],[Ch_Water]]</f>
        <v>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44405.999999999927</v>
      </c>
      <c r="AI34" s="234">
        <f ca="1">MIN(25%,(TblConstr[[#This Row],[Tot Fac]]+TblConstr[[#This Row],[Dest Fac]])/(TblConstr[[#This Row],[Land]]-TblExplore[[#This Row],[Land Bonus]]*20))</f>
        <v>0.15050167224080269</v>
      </c>
      <c r="AJ34" s="234">
        <f ca="1">MIN(25%,(TblConstr[[#This Row],[Tot Fac]]+TblConstr[[#This Row],[Dest Fac]])/TblConstr[[#This Row],[Land]])</f>
        <v>0.15050167224080269</v>
      </c>
      <c r="AK34" s="113">
        <f ca="1">TblProd[[#This Row],[Platinum]]</f>
        <v>106952</v>
      </c>
      <c r="AL34" s="113">
        <f ca="1">TblProd[[#This Row],[Lumber]]</f>
        <v>27973</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4" s="113">
        <f ca="1">ROUNDDOWN( MAX(1 - MIN(facs_constr_factor*TblConstr[[#This Row],[Facs -DB]],facs_constr_max) + tech_1_11*TblTech[[#This Row],[11-1]] + tech_6_3_2*TblTech[[#This Row],[6-3]] + tech_5_2_3*TblTech[[#This Row],[5-2]], 1-global_constr_cap) * TblConstr[[#This Row],[RCPA Lumber]],0)</f>
        <v>35</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4" s="113">
        <f ca="1">ROUNDDOWN( MAX(1 - MIN(facs_constr_factor*TblConstr[[#This Row],[Facs DB]],facs_constr_max) + tech_1_11*TblTech[[#This Row],[1-11]] + tech_6_3_2*TblTech[[#This Row],[6-3]] + tech_5_2_3*TblTech[[#This Row],[5-2]], 1-global_constr_cap) * TblConstr[[#This Row],[RCPA Lumber]],0)</f>
        <v>35</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70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20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45</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15</v>
      </c>
      <c r="BM34" s="488" cm="1">
        <f t="array" aca="1" ref="BM34" ca="1">IF(TblConstr[[#This Row],[Hour]:[Hour]]&gt;12,OFFSET(TblConstr[[#This Row],[Tem]],-12,0),0)+OFFSET(TblConstr[[#This Row],[Tot Tem]],-1,0)-TblConstr[[#This Row],[Dest Tem]]</f>
        <v>20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20</v>
      </c>
      <c r="BR34" s="184"/>
      <c r="BS34" s="200"/>
      <c r="BT34" s="113">
        <f ca="1">TblConstr[[#This Row],[Land]]</f>
        <v>299</v>
      </c>
      <c r="BU34" s="205">
        <f ca="1">TblImps[[#This Row],[Time]]</f>
        <v>44405.999999999927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149</v>
      </c>
      <c r="DA34" s="113">
        <f t="shared" ca="1" si="4"/>
        <v>20</v>
      </c>
      <c r="DB34" s="49">
        <f t="shared" ca="1" si="5"/>
        <v>20</v>
      </c>
      <c r="DC34" s="113">
        <f t="shared" ca="1" si="6"/>
        <v>45</v>
      </c>
      <c r="DD34" s="113">
        <f t="shared" ca="1" si="7"/>
        <v>35</v>
      </c>
      <c r="DE34" s="49">
        <f t="shared" ca="1" si="8"/>
        <v>0</v>
      </c>
      <c r="DF34" s="113">
        <f t="shared" ca="1" si="9"/>
        <v>20</v>
      </c>
      <c r="DG34" s="113" cm="1">
        <f t="array" aca="1" ref="DG34" ca="1">INDEX(TblConstr[[Total Plain]:[Total Water]],ROW()-ROW(TblConstr[#Headers]),MATCH("Total "&amp;home_land,TblConstr[[#Headers],[Total Plain]:[Total Water]],0))+TblConstr[[#This Row],[Homes]]</f>
        <v>159</v>
      </c>
      <c r="DH34" s="49">
        <f t="shared" ca="1" si="10"/>
        <v>10</v>
      </c>
      <c r="DI34" s="49">
        <f t="shared" ca="1" si="0"/>
        <v>0</v>
      </c>
      <c r="DJ34" s="49">
        <f t="shared" ca="1" si="1"/>
        <v>0</v>
      </c>
    </row>
    <row r="35" spans="1:114" x14ac:dyDescent="0.2">
      <c r="A35" s="228">
        <f>TblRezone[[#This Row],[Hour]]</f>
        <v>32</v>
      </c>
      <c r="B35" s="229">
        <f ca="1">SUM(TblConstr[[#This Row],[Plain]:[Water]])</f>
        <v>0</v>
      </c>
      <c r="C35" s="230">
        <f ca="1">SUM(TblConstr[[#This Row],[Tot Hom]:[Tot Doc]])</f>
        <v>250</v>
      </c>
      <c r="D35" s="230">
        <f t="shared" si="2"/>
        <v>49</v>
      </c>
      <c r="E35" s="231"/>
      <c r="F35" s="74">
        <f ca="1">TblConstr[[#This Row],[Barren]]+TblConstr[[#This Row],[Buildings]]+TblConstr[[#This Row],[Incoming]]</f>
        <v>299</v>
      </c>
      <c r="G35" s="242">
        <f ca="1">OFFSET(TblConstr[[#This Row],[Plain]],-1,0)+TblConstr[[#This Row],[Ch_Plain]]</f>
        <v>0</v>
      </c>
      <c r="H35" s="236">
        <f ca="1">OFFSET(TblConstr[[#This Row],[Forest]],-1,0)+TblConstr[[#This Row],[Ch_Forest]]</f>
        <v>0</v>
      </c>
      <c r="I35" s="478">
        <f ca="1">OFFSET(TblConstr[[#This Row],[Mountain]],-1,0)+TblConstr[[#This Row],[Ch_Mountain]]</f>
        <v>0</v>
      </c>
      <c r="J35" s="482">
        <f ca="1">OFFSET(TblConstr[[#This Row],[Hill]],-1,0)+TblConstr[[#This Row],[Ch_Hill]]</f>
        <v>0</v>
      </c>
      <c r="K35" s="486">
        <f ca="1">OFFSET(TblConstr[[#This Row],[Swamp]],-1,0)+TblConstr[[#This Row],[Ch_Swamp]]</f>
        <v>0</v>
      </c>
      <c r="L35" s="239">
        <f ca="1">OFFSET(TblConstr[[#This Row],[Cavern]],-1,0)+TblConstr[[#This Row],[Ch_Cavern]]</f>
        <v>0</v>
      </c>
      <c r="M35" s="240">
        <f ca="1">OFFSET(TblConstr[[#This Row],[Water]],-1,0)+TblConstr[[#This Row],[Ch_Water]]</f>
        <v>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44406.041666666591</v>
      </c>
      <c r="AI35" s="234">
        <f ca="1">MIN(25%,(TblConstr[[#This Row],[Tot Fac]]+TblConstr[[#This Row],[Dest Fac]])/(TblConstr[[#This Row],[Land]]-TblExplore[[#This Row],[Land Bonus]]*20))</f>
        <v>0.15050167224080269</v>
      </c>
      <c r="AJ35" s="234">
        <f ca="1">MIN(25%,(TblConstr[[#This Row],[Tot Fac]]+TblConstr[[#This Row],[Dest Fac]])/TblConstr[[#This Row],[Land]])</f>
        <v>0.15050167224080269</v>
      </c>
      <c r="AK35" s="113">
        <f ca="1">TblProd[[#This Row],[Platinum]]</f>
        <v>121723</v>
      </c>
      <c r="AL35" s="113">
        <f ca="1">TblProd[[#This Row],[Lumber]]</f>
        <v>28693</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5" s="113">
        <f ca="1">ROUNDDOWN( MAX(1 - MIN(facs_constr_factor*TblConstr[[#This Row],[Facs -DB]],facs_constr_max) + tech_1_11*TblTech[[#This Row],[11-1]] + tech_6_3_2*TblTech[[#This Row],[6-3]] + tech_5_2_3*TblTech[[#This Row],[5-2]], 1-global_constr_cap) * TblConstr[[#This Row],[RCPA Lumber]],0)</f>
        <v>35</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5" s="113">
        <f ca="1">ROUNDDOWN( MAX(1 - MIN(facs_constr_factor*TblConstr[[#This Row],[Facs DB]],facs_constr_max) + tech_1_11*TblTech[[#This Row],[1-11]] + tech_6_3_2*TblTech[[#This Row],[6-3]] + tech_5_2_3*TblTech[[#This Row],[5-2]], 1-global_constr_cap) * TblConstr[[#This Row],[RCPA Lumber]],0)</f>
        <v>35</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70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20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45</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15</v>
      </c>
      <c r="BM35" s="488" cm="1">
        <f t="array" aca="1" ref="BM35" ca="1">IF(TblConstr[[#This Row],[Hour]:[Hour]]&gt;12,OFFSET(TblConstr[[#This Row],[Tem]],-12,0),0)+OFFSET(TblConstr[[#This Row],[Tot Tem]],-1,0)-TblConstr[[#This Row],[Dest Tem]]</f>
        <v>20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20</v>
      </c>
      <c r="BR35" s="184"/>
      <c r="BS35" s="200"/>
      <c r="BT35" s="113">
        <f ca="1">TblConstr[[#This Row],[Land]]</f>
        <v>299</v>
      </c>
      <c r="BU35" s="205">
        <f ca="1">TblImps[[#This Row],[Time]]</f>
        <v>44406.041666666591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149</v>
      </c>
      <c r="DA35" s="113">
        <f t="shared" ca="1" si="4"/>
        <v>20</v>
      </c>
      <c r="DB35" s="49">
        <f t="shared" ca="1" si="5"/>
        <v>20</v>
      </c>
      <c r="DC35" s="113">
        <f t="shared" ca="1" si="6"/>
        <v>45</v>
      </c>
      <c r="DD35" s="113">
        <f t="shared" ca="1" si="7"/>
        <v>35</v>
      </c>
      <c r="DE35" s="49">
        <f t="shared" ca="1" si="8"/>
        <v>0</v>
      </c>
      <c r="DF35" s="113">
        <f t="shared" ca="1" si="9"/>
        <v>20</v>
      </c>
      <c r="DG35" s="113" cm="1">
        <f t="array" aca="1" ref="DG35" ca="1">INDEX(TblConstr[[Total Plain]:[Total Water]],ROW()-ROW(TblConstr[#Headers]),MATCH("Total "&amp;home_land,TblConstr[[#Headers],[Total Plain]:[Total Water]],0))+TblConstr[[#This Row],[Homes]]</f>
        <v>159</v>
      </c>
      <c r="DH35" s="49">
        <f t="shared" ca="1" si="10"/>
        <v>10</v>
      </c>
      <c r="DI35" s="49">
        <f t="shared" ca="1" si="0"/>
        <v>0</v>
      </c>
      <c r="DJ35" s="49">
        <f t="shared" ca="1" si="1"/>
        <v>0</v>
      </c>
    </row>
    <row r="36" spans="1:114" x14ac:dyDescent="0.2">
      <c r="A36" s="228">
        <f>TblRezone[[#This Row],[Hour]]</f>
        <v>33</v>
      </c>
      <c r="B36" s="229">
        <f ca="1">SUM(TblConstr[[#This Row],[Plain]:[Water]])</f>
        <v>0</v>
      </c>
      <c r="C36" s="230">
        <f ca="1">SUM(TblConstr[[#This Row],[Tot Hom]:[Tot Doc]])</f>
        <v>250</v>
      </c>
      <c r="D36" s="230">
        <f t="shared" si="2"/>
        <v>49</v>
      </c>
      <c r="E36" s="231"/>
      <c r="F36" s="74">
        <f ca="1">TblConstr[[#This Row],[Barren]]+TblConstr[[#This Row],[Buildings]]+TblConstr[[#This Row],[Incoming]]</f>
        <v>299</v>
      </c>
      <c r="G36" s="242">
        <f ca="1">OFFSET(TblConstr[[#This Row],[Plain]],-1,0)+TblConstr[[#This Row],[Ch_Plain]]</f>
        <v>0</v>
      </c>
      <c r="H36" s="236">
        <f ca="1">OFFSET(TblConstr[[#This Row],[Forest]],-1,0)+TblConstr[[#This Row],[Ch_Forest]]</f>
        <v>0</v>
      </c>
      <c r="I36" s="478">
        <f ca="1">OFFSET(TblConstr[[#This Row],[Mountain]],-1,0)+TblConstr[[#This Row],[Ch_Mountain]]</f>
        <v>0</v>
      </c>
      <c r="J36" s="482">
        <f ca="1">OFFSET(TblConstr[[#This Row],[Hill]],-1,0)+TblConstr[[#This Row],[Ch_Hill]]</f>
        <v>0</v>
      </c>
      <c r="K36" s="486">
        <f ca="1">OFFSET(TblConstr[[#This Row],[Swamp]],-1,0)+TblConstr[[#This Row],[Ch_Swamp]]</f>
        <v>0</v>
      </c>
      <c r="L36" s="239">
        <f ca="1">OFFSET(TblConstr[[#This Row],[Cavern]],-1,0)+TblConstr[[#This Row],[Ch_Cavern]]</f>
        <v>0</v>
      </c>
      <c r="M36" s="240">
        <f ca="1">OFFSET(TblConstr[[#This Row],[Water]],-1,0)+TblConstr[[#This Row],[Ch_Water]]</f>
        <v>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44406.083333333256</v>
      </c>
      <c r="AI36" s="234">
        <f ca="1">MIN(25%,(TblConstr[[#This Row],[Tot Fac]]+TblConstr[[#This Row],[Dest Fac]])/(TblConstr[[#This Row],[Land]]-TblExplore[[#This Row],[Land Bonus]]*20))</f>
        <v>0.15050167224080269</v>
      </c>
      <c r="AJ36" s="234">
        <f ca="1">MIN(25%,(TblConstr[[#This Row],[Tot Fac]]+TblConstr[[#This Row],[Dest Fac]])/TblConstr[[#This Row],[Land]])</f>
        <v>0.15050167224080269</v>
      </c>
      <c r="AK36" s="113">
        <f ca="1">TblProd[[#This Row],[Platinum]]</f>
        <v>137020</v>
      </c>
      <c r="AL36" s="113">
        <f ca="1">TblProd[[#This Row],[Lumber]]</f>
        <v>29406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6" s="113">
        <f ca="1">ROUNDDOWN( MAX(1 - MIN(facs_constr_factor*TblConstr[[#This Row],[Facs -DB]],facs_constr_max) + tech_1_11*TblTech[[#This Row],[11-1]] + tech_6_3_2*TblTech[[#This Row],[6-3]] + tech_5_2_3*TblTech[[#This Row],[5-2]], 1-global_constr_cap) * TblConstr[[#This Row],[RCPA Lumber]],0)</f>
        <v>35</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6" s="113">
        <f ca="1">ROUNDDOWN( MAX(1 - MIN(facs_constr_factor*TblConstr[[#This Row],[Facs DB]],facs_constr_max) + tech_1_11*TblTech[[#This Row],[1-11]] + tech_6_3_2*TblTech[[#This Row],[6-3]] + tech_5_2_3*TblTech[[#This Row],[5-2]], 1-global_constr_cap) * TblConstr[[#This Row],[RCPA Lumber]],0)</f>
        <v>35</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70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20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45</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15</v>
      </c>
      <c r="BM36" s="488" cm="1">
        <f t="array" aca="1" ref="BM36" ca="1">IF(TblConstr[[#This Row],[Hour]:[Hour]]&gt;12,OFFSET(TblConstr[[#This Row],[Tem]],-12,0),0)+OFFSET(TblConstr[[#This Row],[Tot Tem]],-1,0)-TblConstr[[#This Row],[Dest Tem]]</f>
        <v>20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20</v>
      </c>
      <c r="BR36" s="184"/>
      <c r="BS36" s="200"/>
      <c r="BT36" s="113">
        <f ca="1">TblConstr[[#This Row],[Land]]</f>
        <v>299</v>
      </c>
      <c r="BU36" s="205">
        <f ca="1">TblImps[[#This Row],[Time]]</f>
        <v>44406.083333333256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149</v>
      </c>
      <c r="DA36" s="113">
        <f t="shared" ca="1" si="4"/>
        <v>20</v>
      </c>
      <c r="DB36" s="49">
        <f t="shared" ca="1" si="5"/>
        <v>20</v>
      </c>
      <c r="DC36" s="113">
        <f t="shared" ca="1" si="6"/>
        <v>45</v>
      </c>
      <c r="DD36" s="113">
        <f t="shared" ca="1" si="7"/>
        <v>35</v>
      </c>
      <c r="DE36" s="49">
        <f t="shared" ca="1" si="8"/>
        <v>0</v>
      </c>
      <c r="DF36" s="113">
        <f t="shared" ca="1" si="9"/>
        <v>20</v>
      </c>
      <c r="DG36" s="113" cm="1">
        <f t="array" aca="1" ref="DG36" ca="1">INDEX(TblConstr[[Total Plain]:[Total Water]],ROW()-ROW(TblConstr[#Headers]),MATCH("Total "&amp;home_land,TblConstr[[#Headers],[Total Plain]:[Total Water]],0))+TblConstr[[#This Row],[Homes]]</f>
        <v>159</v>
      </c>
      <c r="DH36" s="49">
        <f t="shared" ca="1" si="10"/>
        <v>10</v>
      </c>
      <c r="DI36" s="49">
        <f t="shared" ca="1" si="0"/>
        <v>0</v>
      </c>
      <c r="DJ36" s="49">
        <f t="shared" ca="1" si="1"/>
        <v>0</v>
      </c>
    </row>
    <row r="37" spans="1:114" x14ac:dyDescent="0.2">
      <c r="A37" s="228">
        <f>TblRezone[[#This Row],[Hour]]</f>
        <v>34</v>
      </c>
      <c r="B37" s="229">
        <f ca="1">SUM(TblConstr[[#This Row],[Plain]:[Water]])</f>
        <v>0</v>
      </c>
      <c r="C37" s="230">
        <f ca="1">SUM(TblConstr[[#This Row],[Tot Hom]:[Tot Doc]])</f>
        <v>250</v>
      </c>
      <c r="D37" s="230">
        <f t="shared" si="2"/>
        <v>49</v>
      </c>
      <c r="E37" s="231"/>
      <c r="F37" s="74">
        <f ca="1">TblConstr[[#This Row],[Barren]]+TblConstr[[#This Row],[Buildings]]+TblConstr[[#This Row],[Incoming]]</f>
        <v>299</v>
      </c>
      <c r="G37" s="242">
        <f ca="1">OFFSET(TblConstr[[#This Row],[Plain]],-1,0)+TblConstr[[#This Row],[Ch_Plain]]</f>
        <v>0</v>
      </c>
      <c r="H37" s="236">
        <f ca="1">OFFSET(TblConstr[[#This Row],[Forest]],-1,0)+TblConstr[[#This Row],[Ch_Forest]]</f>
        <v>0</v>
      </c>
      <c r="I37" s="478">
        <f ca="1">OFFSET(TblConstr[[#This Row],[Mountain]],-1,0)+TblConstr[[#This Row],[Ch_Mountain]]</f>
        <v>0</v>
      </c>
      <c r="J37" s="482">
        <f ca="1">OFFSET(TblConstr[[#This Row],[Hill]],-1,0)+TblConstr[[#This Row],[Ch_Hill]]</f>
        <v>0</v>
      </c>
      <c r="K37" s="486">
        <f ca="1">OFFSET(TblConstr[[#This Row],[Swamp]],-1,0)+TblConstr[[#This Row],[Ch_Swamp]]</f>
        <v>0</v>
      </c>
      <c r="L37" s="239">
        <f ca="1">OFFSET(TblConstr[[#This Row],[Cavern]],-1,0)+TblConstr[[#This Row],[Ch_Cavern]]</f>
        <v>0</v>
      </c>
      <c r="M37" s="240">
        <f ca="1">OFFSET(TblConstr[[#This Row],[Water]],-1,0)+TblConstr[[#This Row],[Ch_Water]]</f>
        <v>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44406.12499999992</v>
      </c>
      <c r="AI37" s="234">
        <f ca="1">MIN(25%,(TblConstr[[#This Row],[Tot Fac]]+TblConstr[[#This Row],[Dest Fac]])/(TblConstr[[#This Row],[Land]]-TblExplore[[#This Row],[Land Bonus]]*20))</f>
        <v>0.15050167224080269</v>
      </c>
      <c r="AJ37" s="234">
        <f ca="1">MIN(25%,(TblConstr[[#This Row],[Tot Fac]]+TblConstr[[#This Row],[Dest Fac]])/TblConstr[[#This Row],[Land]])</f>
        <v>0.15050167224080269</v>
      </c>
      <c r="AK37" s="113">
        <f ca="1">TblProd[[#This Row],[Platinum]]</f>
        <v>152866</v>
      </c>
      <c r="AL37" s="113">
        <f ca="1">TblProd[[#This Row],[Lumber]]</f>
        <v>30112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7" s="113">
        <f ca="1">ROUNDDOWN( MAX(1 - MIN(facs_constr_factor*TblConstr[[#This Row],[Facs -DB]],facs_constr_max) + tech_1_11*TblTech[[#This Row],[11-1]] + tech_6_3_2*TblTech[[#This Row],[6-3]] + tech_5_2_3*TblTech[[#This Row],[5-2]], 1-global_constr_cap) * TblConstr[[#This Row],[RCPA Lumber]],0)</f>
        <v>35</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7" s="113">
        <f ca="1">ROUNDDOWN( MAX(1 - MIN(facs_constr_factor*TblConstr[[#This Row],[Facs DB]],facs_constr_max) + tech_1_11*TblTech[[#This Row],[1-11]] + tech_6_3_2*TblTech[[#This Row],[6-3]] + tech_5_2_3*TblTech[[#This Row],[5-2]], 1-global_constr_cap) * TblConstr[[#This Row],[RCPA Lumber]],0)</f>
        <v>35</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70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20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45</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15</v>
      </c>
      <c r="BM37" s="488" cm="1">
        <f t="array" aca="1" ref="BM37" ca="1">IF(TblConstr[[#This Row],[Hour]:[Hour]]&gt;12,OFFSET(TblConstr[[#This Row],[Tem]],-12,0),0)+OFFSET(TblConstr[[#This Row],[Tot Tem]],-1,0)-TblConstr[[#This Row],[Dest Tem]]</f>
        <v>20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20</v>
      </c>
      <c r="BR37" s="184"/>
      <c r="BS37" s="200"/>
      <c r="BT37" s="113">
        <f ca="1">TblConstr[[#This Row],[Land]]</f>
        <v>299</v>
      </c>
      <c r="BU37" s="205">
        <f ca="1">TblImps[[#This Row],[Time]]</f>
        <v>44406.12499999992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149</v>
      </c>
      <c r="DA37" s="113">
        <f t="shared" ca="1" si="4"/>
        <v>20</v>
      </c>
      <c r="DB37" s="49">
        <f t="shared" ca="1" si="5"/>
        <v>20</v>
      </c>
      <c r="DC37" s="113">
        <f t="shared" ca="1" si="6"/>
        <v>45</v>
      </c>
      <c r="DD37" s="113">
        <f t="shared" ca="1" si="7"/>
        <v>35</v>
      </c>
      <c r="DE37" s="49">
        <f t="shared" ca="1" si="8"/>
        <v>0</v>
      </c>
      <c r="DF37" s="113">
        <f t="shared" ca="1" si="9"/>
        <v>20</v>
      </c>
      <c r="DG37" s="113" cm="1">
        <f t="array" aca="1" ref="DG37" ca="1">INDEX(TblConstr[[Total Plain]:[Total Water]],ROW()-ROW(TblConstr[#Headers]),MATCH("Total "&amp;home_land,TblConstr[[#Headers],[Total Plain]:[Total Water]],0))+TblConstr[[#This Row],[Homes]]</f>
        <v>159</v>
      </c>
      <c r="DH37" s="49">
        <f t="shared" ca="1" si="10"/>
        <v>10</v>
      </c>
      <c r="DI37" s="49">
        <f t="shared" ca="1" si="0"/>
        <v>0</v>
      </c>
      <c r="DJ37" s="49">
        <f t="shared" ca="1" si="1"/>
        <v>0</v>
      </c>
    </row>
    <row r="38" spans="1:114" x14ac:dyDescent="0.2">
      <c r="A38" s="228">
        <f>TblRezone[[#This Row],[Hour]]</f>
        <v>35</v>
      </c>
      <c r="B38" s="229">
        <f ca="1">SUM(TblConstr[[#This Row],[Plain]:[Water]])</f>
        <v>0</v>
      </c>
      <c r="C38" s="230">
        <f ca="1">SUM(TblConstr[[#This Row],[Tot Hom]:[Tot Doc]])</f>
        <v>250</v>
      </c>
      <c r="D38" s="230">
        <f t="shared" si="2"/>
        <v>49</v>
      </c>
      <c r="E38" s="231"/>
      <c r="F38" s="74">
        <f ca="1">TblConstr[[#This Row],[Barren]]+TblConstr[[#This Row],[Buildings]]+TblConstr[[#This Row],[Incoming]]</f>
        <v>299</v>
      </c>
      <c r="G38" s="242">
        <f ca="1">OFFSET(TblConstr[[#This Row],[Plain]],-1,0)+TblConstr[[#This Row],[Ch_Plain]]</f>
        <v>0</v>
      </c>
      <c r="H38" s="236">
        <f ca="1">OFFSET(TblConstr[[#This Row],[Forest]],-1,0)+TblConstr[[#This Row],[Ch_Forest]]</f>
        <v>0</v>
      </c>
      <c r="I38" s="478">
        <f ca="1">OFFSET(TblConstr[[#This Row],[Mountain]],-1,0)+TblConstr[[#This Row],[Ch_Mountain]]</f>
        <v>0</v>
      </c>
      <c r="J38" s="482">
        <f ca="1">OFFSET(TblConstr[[#This Row],[Hill]],-1,0)+TblConstr[[#This Row],[Ch_Hill]]</f>
        <v>0</v>
      </c>
      <c r="K38" s="486">
        <f ca="1">OFFSET(TblConstr[[#This Row],[Swamp]],-1,0)+TblConstr[[#This Row],[Ch_Swamp]]</f>
        <v>0</v>
      </c>
      <c r="L38" s="239">
        <f ca="1">OFFSET(TblConstr[[#This Row],[Cavern]],-1,0)+TblConstr[[#This Row],[Ch_Cavern]]</f>
        <v>0</v>
      </c>
      <c r="M38" s="240">
        <f ca="1">OFFSET(TblConstr[[#This Row],[Water]],-1,0)+TblConstr[[#This Row],[Ch_Water]]</f>
        <v>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44406.166666666584</v>
      </c>
      <c r="AI38" s="234">
        <f ca="1">MIN(25%,(TblConstr[[#This Row],[Tot Fac]]+TblConstr[[#This Row],[Dest Fac]])/(TblConstr[[#This Row],[Land]]-TblExplore[[#This Row],[Land Bonus]]*20))</f>
        <v>0.15050167224080269</v>
      </c>
      <c r="AJ38" s="234">
        <f ca="1">MIN(25%,(TblConstr[[#This Row],[Tot Fac]]+TblConstr[[#This Row],[Dest Fac]])/TblConstr[[#This Row],[Land]])</f>
        <v>0.15050167224080269</v>
      </c>
      <c r="AK38" s="113">
        <f ca="1">TblProd[[#This Row],[Platinum]]</f>
        <v>73562</v>
      </c>
      <c r="AL38" s="113">
        <f ca="1">TblProd[[#This Row],[Lumber]]</f>
        <v>30811</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8" s="113">
        <f ca="1">ROUNDDOWN( MAX(1 - MIN(facs_constr_factor*TblConstr[[#This Row],[Facs -DB]],facs_constr_max) + tech_1_11*TblTech[[#This Row],[11-1]] + tech_6_3_2*TblTech[[#This Row],[6-3]] + tech_5_2_3*TblTech[[#This Row],[5-2]], 1-global_constr_cap) * TblConstr[[#This Row],[RCPA Lumber]],0)</f>
        <v>35</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8" s="113">
        <f ca="1">ROUNDDOWN( MAX(1 - MIN(facs_constr_factor*TblConstr[[#This Row],[Facs DB]],facs_constr_max) + tech_1_11*TblTech[[#This Row],[1-11]] + tech_6_3_2*TblTech[[#This Row],[6-3]] + tech_5_2_3*TblTech[[#This Row],[5-2]], 1-global_constr_cap) * TblConstr[[#This Row],[RCPA Lumber]],0)</f>
        <v>35</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70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20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45</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15</v>
      </c>
      <c r="BM38" s="488" cm="1">
        <f t="array" aca="1" ref="BM38" ca="1">IF(TblConstr[[#This Row],[Hour]:[Hour]]&gt;12,OFFSET(TblConstr[[#This Row],[Tem]],-12,0),0)+OFFSET(TblConstr[[#This Row],[Tot Tem]],-1,0)-TblConstr[[#This Row],[Dest Tem]]</f>
        <v>20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20</v>
      </c>
      <c r="BR38" s="184"/>
      <c r="BS38" s="200"/>
      <c r="BT38" s="113">
        <f ca="1">TblConstr[[#This Row],[Land]]</f>
        <v>299</v>
      </c>
      <c r="BU38" s="205">
        <f ca="1">TblImps[[#This Row],[Time]]</f>
        <v>44406.166666666584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149</v>
      </c>
      <c r="DA38" s="113">
        <f t="shared" ca="1" si="4"/>
        <v>20</v>
      </c>
      <c r="DB38" s="49">
        <f t="shared" ca="1" si="5"/>
        <v>20</v>
      </c>
      <c r="DC38" s="113">
        <f t="shared" ca="1" si="6"/>
        <v>45</v>
      </c>
      <c r="DD38" s="113">
        <f t="shared" ca="1" si="7"/>
        <v>35</v>
      </c>
      <c r="DE38" s="49">
        <f t="shared" ca="1" si="8"/>
        <v>0</v>
      </c>
      <c r="DF38" s="113">
        <f t="shared" ca="1" si="9"/>
        <v>20</v>
      </c>
      <c r="DG38" s="113" cm="1">
        <f t="array" aca="1" ref="DG38" ca="1">INDEX(TblConstr[[Total Plain]:[Total Water]],ROW()-ROW(TblConstr[#Headers]),MATCH("Total "&amp;home_land,TblConstr[[#Headers],[Total Plain]:[Total Water]],0))+TblConstr[[#This Row],[Homes]]</f>
        <v>159</v>
      </c>
      <c r="DH38" s="49">
        <f t="shared" ca="1" si="10"/>
        <v>10</v>
      </c>
      <c r="DI38" s="49">
        <f t="shared" ca="1" si="0"/>
        <v>0</v>
      </c>
      <c r="DJ38" s="49">
        <f t="shared" ca="1" si="1"/>
        <v>0</v>
      </c>
    </row>
    <row r="39" spans="1:114" x14ac:dyDescent="0.2">
      <c r="A39" s="228">
        <f>TblRezone[[#This Row],[Hour]]</f>
        <v>36</v>
      </c>
      <c r="B39" s="229">
        <f ca="1">SUM(TblConstr[[#This Row],[Plain]:[Water]])</f>
        <v>0</v>
      </c>
      <c r="C39" s="230">
        <f ca="1">SUM(TblConstr[[#This Row],[Tot Hom]:[Tot Doc]])</f>
        <v>270</v>
      </c>
      <c r="D39" s="230">
        <f t="shared" si="2"/>
        <v>164</v>
      </c>
      <c r="E39" s="231"/>
      <c r="F39" s="74">
        <f ca="1">TblConstr[[#This Row],[Barren]]+TblConstr[[#This Row],[Buildings]]+TblConstr[[#This Row],[Incoming]]</f>
        <v>434</v>
      </c>
      <c r="G39" s="242">
        <f ca="1">OFFSET(TblConstr[[#This Row],[Plain]],-1,0)+TblConstr[[#This Row],[Ch_Plain]]</f>
        <v>0</v>
      </c>
      <c r="H39" s="236">
        <f ca="1">OFFSET(TblConstr[[#This Row],[Forest]],-1,0)+TblConstr[[#This Row],[Ch_Forest]]</f>
        <v>0</v>
      </c>
      <c r="I39" s="478">
        <f ca="1">OFFSET(TblConstr[[#This Row],[Mountain]],-1,0)+TblConstr[[#This Row],[Ch_Mountain]]</f>
        <v>0</v>
      </c>
      <c r="J39" s="482">
        <f ca="1">OFFSET(TblConstr[[#This Row],[Hill]],-1,0)+TblConstr[[#This Row],[Ch_Hill]]</f>
        <v>0</v>
      </c>
      <c r="K39" s="486">
        <f ca="1">OFFSET(TblConstr[[#This Row],[Swamp]],-1,0)+TblConstr[[#This Row],[Ch_Swamp]]</f>
        <v>0</v>
      </c>
      <c r="L39" s="239">
        <f ca="1">OFFSET(TblConstr[[#This Row],[Cavern]],-1,0)+TblConstr[[#This Row],[Ch_Cavern]]</f>
        <v>0</v>
      </c>
      <c r="M39" s="240">
        <f ca="1">OFFSET(TblConstr[[#This Row],[Water]],-1,0)+TblConstr[[#This Row],[Ch_Water]]</f>
        <v>0</v>
      </c>
      <c r="N39" s="476">
        <f>TblRezone[[#This Row],[Hour]]</f>
        <v>36</v>
      </c>
      <c r="O39" s="232"/>
      <c r="P39" s="204">
        <v>125</v>
      </c>
      <c r="Q39" s="232"/>
      <c r="R39" s="232"/>
      <c r="S39" s="232"/>
      <c r="T39" s="232"/>
      <c r="U39" s="232"/>
      <c r="V39" s="232">
        <v>10</v>
      </c>
      <c r="W39" s="232"/>
      <c r="X39" s="232"/>
      <c r="Y39" s="232"/>
      <c r="Z39" s="232"/>
      <c r="AA39" s="232"/>
      <c r="AB39" s="232"/>
      <c r="AC39" s="232"/>
      <c r="AD39" s="232"/>
      <c r="AE39" s="232"/>
      <c r="AF39" s="232"/>
      <c r="AG39" s="232"/>
      <c r="AH39" s="233">
        <f ca="1">TblImps[[#This Row],[Time]]</f>
        <v>44406.208333333248</v>
      </c>
      <c r="AI39" s="234">
        <f ca="1">MIN(25%,(TblConstr[[#This Row],[Tot Fac]]+TblConstr[[#This Row],[Dest Fac]])/(TblConstr[[#This Row],[Land]]-TblExplore[[#This Row],[Land Bonus]]*20))</f>
        <v>0.10368663594470046</v>
      </c>
      <c r="AJ39" s="234">
        <f ca="1">MIN(25%,(TblConstr[[#This Row],[Tot Fac]]+TblConstr[[#This Row],[Dest Fac]])/TblConstr[[#This Row],[Land]])</f>
        <v>0.10368663594470046</v>
      </c>
      <c r="AK39" s="113">
        <f ca="1">TblProd[[#This Row],[Platinum]]</f>
        <v>3179</v>
      </c>
      <c r="AL39" s="113">
        <f ca="1">TblProd[[#This Row],[Lumber]]</f>
        <v>22593</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39" s="113">
        <f ca="1">ROUNDDOWN( MAX(1 - MIN(facs_constr_factor*TblConstr[[#This Row],[Facs -DB]],facs_constr_max) + tech_1_11*TblTech[[#This Row],[11-1]] + tech_6_3_2*TblTech[[#This Row],[6-3]] + tech_5_2_3*TblTech[[#This Row],[5-2]], 1-global_constr_cap) * TblConstr[[#This Row],[RCPA Lumber]],0)</f>
        <v>66</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P39" s="113">
        <f ca="1">ROUNDDOWN( MAX(1 - MIN(facs_constr_factor*TblConstr[[#This Row],[Facs DB]],facs_constr_max) + tech_1_11*TblTech[[#This Row],[1-11]] + tech_6_3_2*TblTech[[#This Row],[6-3]] + tech_5_2_3*TblTech[[#This Row],[5-2]], 1-global_constr_cap) * TblConstr[[#This Row],[RCPA Lumber]],0)</f>
        <v>66</v>
      </c>
      <c r="AQ39" s="49">
        <f ca="1">TblConstr[[#This Row],[build -db]]*TblConstr[[#This Row],[CPA Platinum -DB]] + TblConstr[[#This Row],[build db]]*TblConstr[[#This Row],[CPA Platinum DB]]</f>
        <v>76275</v>
      </c>
      <c r="AR39" s="49">
        <f ca="1">TblConstr[[#This Row],[build -db]]*TblConstr[[#This Row],[CPA Lumber -DB]]+TblConstr[[#This Row],[build db]]*TblConstr[[#This Row],[CPA Lumber DB]]</f>
        <v>8910</v>
      </c>
      <c r="AS39" s="113">
        <f ca="1">MIN(SUM(OFFSET(TblConstr[[#This Row],[Plain]:[Water]],-1,0))+SUM(TblConstr[[#This Row],[Dest Hom]:[Dest Doc]])+IF(TblConstr[[#This Row],[Hour]]&gt;12,SUM(OFFSET(TblExplore[[#This Row],[Plains Explore]:[Water Explore]],-12,0)),0),SUM(TblConstr[[#This Row],[Hom]:[Doc]]))</f>
        <v>135</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966</v>
      </c>
      <c r="AW39" s="113">
        <f ca="1">ROUND((MAX(TblConstr[[#This Row],[Buildings]],250,0.75*TblConstr[[#This Row],[Land]])-250) * 0.35+87.5,0)</f>
        <v>114</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90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20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45</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15</v>
      </c>
      <c r="BM39" s="488" cm="1">
        <f t="array" aca="1" ref="BM39" ca="1">IF(TblConstr[[#This Row],[Hour]:[Hour]]&gt;12,OFFSET(TblConstr[[#This Row],[Tem]],-12,0),0)+OFFSET(TblConstr[[#This Row],[Tot Tem]],-1,0)-TblConstr[[#This Row],[Dest Tem]]</f>
        <v>20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20</v>
      </c>
      <c r="BR39" s="184"/>
      <c r="BS39" s="200"/>
      <c r="BT39" s="113">
        <f ca="1">TblConstr[[#This Row],[Land]]</f>
        <v>434</v>
      </c>
      <c r="BU39" s="205">
        <f ca="1">TblImps[[#This Row],[Time]]</f>
        <v>44406.208333333248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274</v>
      </c>
      <c r="DA39" s="113">
        <f t="shared" ca="1" si="4"/>
        <v>20</v>
      </c>
      <c r="DB39" s="49">
        <f t="shared" ca="1" si="5"/>
        <v>30</v>
      </c>
      <c r="DC39" s="113">
        <f t="shared" ca="1" si="6"/>
        <v>45</v>
      </c>
      <c r="DD39" s="113">
        <f t="shared" ca="1" si="7"/>
        <v>35</v>
      </c>
      <c r="DE39" s="49">
        <f t="shared" ca="1" si="8"/>
        <v>0</v>
      </c>
      <c r="DF39" s="113">
        <f t="shared" ca="1" si="9"/>
        <v>20</v>
      </c>
      <c r="DG39" s="113" cm="1">
        <f t="array" aca="1" ref="DG39" ca="1">INDEX(TblConstr[[Total Plain]:[Total Water]],ROW()-ROW(TblConstr[#Headers]),MATCH("Total "&amp;home_land,TblConstr[[#Headers],[Total Plain]:[Total Water]],0))+TblConstr[[#This Row],[Homes]]</f>
        <v>284</v>
      </c>
      <c r="DH39" s="49">
        <f t="shared" ca="1" si="10"/>
        <v>10</v>
      </c>
      <c r="DI39" s="49">
        <f t="shared" ca="1" si="0"/>
        <v>0</v>
      </c>
      <c r="DJ39" s="49">
        <f t="shared" ca="1" si="1"/>
        <v>0</v>
      </c>
    </row>
    <row r="40" spans="1:114" x14ac:dyDescent="0.2">
      <c r="A40" s="228">
        <f>TblRezone[[#This Row],[Hour]]</f>
        <v>37</v>
      </c>
      <c r="B40" s="229">
        <f ca="1">SUM(TblConstr[[#This Row],[Plain]:[Water]])</f>
        <v>0</v>
      </c>
      <c r="C40" s="230">
        <f ca="1">SUM(TblConstr[[#This Row],[Tot Hom]:[Tot Doc]])</f>
        <v>299</v>
      </c>
      <c r="D40" s="230">
        <f t="shared" si="2"/>
        <v>135</v>
      </c>
      <c r="E40" s="231"/>
      <c r="F40" s="74">
        <f ca="1">TblConstr[[#This Row],[Barren]]+TblConstr[[#This Row],[Buildings]]+TblConstr[[#This Row],[Incoming]]</f>
        <v>434</v>
      </c>
      <c r="G40" s="242">
        <f ca="1">OFFSET(TblConstr[[#This Row],[Plain]],-1,0)+TblConstr[[#This Row],[Ch_Plain]]</f>
        <v>0</v>
      </c>
      <c r="H40" s="236">
        <f ca="1">OFFSET(TblConstr[[#This Row],[Forest]],-1,0)+TblConstr[[#This Row],[Ch_Forest]]</f>
        <v>0</v>
      </c>
      <c r="I40" s="478">
        <f ca="1">OFFSET(TblConstr[[#This Row],[Mountain]],-1,0)+TblConstr[[#This Row],[Ch_Mountain]]</f>
        <v>0</v>
      </c>
      <c r="J40" s="482">
        <f ca="1">OFFSET(TblConstr[[#This Row],[Hill]],-1,0)+TblConstr[[#This Row],[Ch_Hill]]</f>
        <v>0</v>
      </c>
      <c r="K40" s="486">
        <f ca="1">OFFSET(TblConstr[[#This Row],[Swamp]],-1,0)+TblConstr[[#This Row],[Ch_Swamp]]</f>
        <v>0</v>
      </c>
      <c r="L40" s="239">
        <f ca="1">OFFSET(TblConstr[[#This Row],[Cavern]],-1,0)+TblConstr[[#This Row],[Ch_Cavern]]</f>
        <v>0</v>
      </c>
      <c r="M40" s="240">
        <f ca="1">OFFSET(TblConstr[[#This Row],[Water]],-1,0)+TblConstr[[#This Row],[Ch_Water]]</f>
        <v>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44406.249999999913</v>
      </c>
      <c r="AI40" s="234">
        <f ca="1">MIN(25%,(TblConstr[[#This Row],[Tot Fac]]+TblConstr[[#This Row],[Dest Fac]])/(TblConstr[[#This Row],[Land]]-TblExplore[[#This Row],[Land Bonus]]*20))</f>
        <v>0.10368663594470046</v>
      </c>
      <c r="AJ40" s="234">
        <f ca="1">MIN(25%,(TblConstr[[#This Row],[Tot Fac]]+TblConstr[[#This Row],[Dest Fac]])/TblConstr[[#This Row],[Land]])</f>
        <v>0.10368663594470046</v>
      </c>
      <c r="AK40" s="113">
        <f ca="1">TblProd[[#This Row],[Platinum]]</f>
        <v>9431</v>
      </c>
      <c r="AL40" s="113">
        <f ca="1">TblProd[[#This Row],[Lumber]]</f>
        <v>23367</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40" s="113">
        <f ca="1">ROUNDDOWN( MAX(1 - MIN(facs_constr_factor*TblConstr[[#This Row],[Facs -DB]],facs_constr_max) + tech_1_11*TblTech[[#This Row],[11-1]] + tech_6_3_2*TblTech[[#This Row],[6-3]] + tech_5_2_3*TblTech[[#This Row],[5-2]], 1-global_constr_cap) * TblConstr[[#This Row],[RCPA Lumber]],0)</f>
        <v>66</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P40" s="113">
        <f ca="1">ROUNDDOWN( MAX(1 - MIN(facs_constr_factor*TblConstr[[#This Row],[Facs DB]],facs_constr_max) + tech_1_11*TblTech[[#This Row],[1-11]] + tech_6_3_2*TblTech[[#This Row],[6-3]] + tech_5_2_3*TblTech[[#This Row],[5-2]], 1-global_constr_cap) * TblConstr[[#This Row],[RCPA Lumber]],0)</f>
        <v>66</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966</v>
      </c>
      <c r="AW40" s="113">
        <f ca="1">ROUND((MAX(TblConstr[[#This Row],[Buildings]],250,0.75*TblConstr[[#This Row],[Land]])-250) * 0.35+87.5,0)</f>
        <v>114</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119</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20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45</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15</v>
      </c>
      <c r="BM40" s="488" cm="1">
        <f t="array" aca="1" ref="BM40" ca="1">IF(TblConstr[[#This Row],[Hour]:[Hour]]&gt;12,OFFSET(TblConstr[[#This Row],[Tem]],-12,0),0)+OFFSET(TblConstr[[#This Row],[Tot Tem]],-1,0)-TblConstr[[#This Row],[Dest Tem]]</f>
        <v>20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20</v>
      </c>
      <c r="BR40" s="184"/>
      <c r="BS40" s="200"/>
      <c r="BT40" s="113">
        <f ca="1">TblConstr[[#This Row],[Land]]</f>
        <v>434</v>
      </c>
      <c r="BU40" s="205">
        <f ca="1">TblImps[[#This Row],[Time]]</f>
        <v>44406.249999999913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274</v>
      </c>
      <c r="DA40" s="113">
        <f t="shared" ca="1" si="4"/>
        <v>20</v>
      </c>
      <c r="DB40" s="49">
        <f t="shared" ca="1" si="5"/>
        <v>30</v>
      </c>
      <c r="DC40" s="113">
        <f t="shared" ca="1" si="6"/>
        <v>45</v>
      </c>
      <c r="DD40" s="113">
        <f t="shared" ca="1" si="7"/>
        <v>35</v>
      </c>
      <c r="DE40" s="49">
        <f t="shared" ca="1" si="8"/>
        <v>0</v>
      </c>
      <c r="DF40" s="113">
        <f t="shared" ca="1" si="9"/>
        <v>20</v>
      </c>
      <c r="DG40" s="113" cm="1">
        <f t="array" aca="1" ref="DG40" ca="1">INDEX(TblConstr[[Total Plain]:[Total Water]],ROW()-ROW(TblConstr[#Headers]),MATCH("Total "&amp;home_land,TblConstr[[#Headers],[Total Plain]:[Total Water]],0))+TblConstr[[#This Row],[Homes]]</f>
        <v>284</v>
      </c>
      <c r="DH40" s="49">
        <f t="shared" ca="1" si="10"/>
        <v>10</v>
      </c>
      <c r="DI40" s="49">
        <f t="shared" ca="1" si="0"/>
        <v>0</v>
      </c>
      <c r="DJ40" s="49">
        <f t="shared" ca="1" si="1"/>
        <v>0</v>
      </c>
    </row>
    <row r="41" spans="1:114" x14ac:dyDescent="0.2">
      <c r="A41" s="228">
        <f>TblRezone[[#This Row],[Hour]]</f>
        <v>38</v>
      </c>
      <c r="B41" s="229">
        <f ca="1">SUM(TblConstr[[#This Row],[Plain]:[Water]])</f>
        <v>0</v>
      </c>
      <c r="C41" s="230">
        <f ca="1">SUM(TblConstr[[#This Row],[Tot Hom]:[Tot Doc]])</f>
        <v>299</v>
      </c>
      <c r="D41" s="230">
        <f t="shared" si="2"/>
        <v>135</v>
      </c>
      <c r="E41" s="231"/>
      <c r="F41" s="74">
        <f ca="1">TblConstr[[#This Row],[Barren]]+TblConstr[[#This Row],[Buildings]]+TblConstr[[#This Row],[Incoming]]</f>
        <v>434</v>
      </c>
      <c r="G41" s="242">
        <f ca="1">OFFSET(TblConstr[[#This Row],[Plain]],-1,0)+TblConstr[[#This Row],[Ch_Plain]]</f>
        <v>0</v>
      </c>
      <c r="H41" s="236">
        <f ca="1">OFFSET(TblConstr[[#This Row],[Forest]],-1,0)+TblConstr[[#This Row],[Ch_Forest]]</f>
        <v>0</v>
      </c>
      <c r="I41" s="478">
        <f ca="1">OFFSET(TblConstr[[#This Row],[Mountain]],-1,0)+TblConstr[[#This Row],[Ch_Mountain]]</f>
        <v>0</v>
      </c>
      <c r="J41" s="482">
        <f ca="1">OFFSET(TblConstr[[#This Row],[Hill]],-1,0)+TblConstr[[#This Row],[Ch_Hill]]</f>
        <v>0</v>
      </c>
      <c r="K41" s="486">
        <f ca="1">OFFSET(TblConstr[[#This Row],[Swamp]],-1,0)+TblConstr[[#This Row],[Ch_Swamp]]</f>
        <v>0</v>
      </c>
      <c r="L41" s="239">
        <f ca="1">OFFSET(TblConstr[[#This Row],[Cavern]],-1,0)+TblConstr[[#This Row],[Ch_Cavern]]</f>
        <v>0</v>
      </c>
      <c r="M41" s="240">
        <f ca="1">OFFSET(TblConstr[[#This Row],[Water]],-1,0)+TblConstr[[#This Row],[Ch_Water]]</f>
        <v>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44406.291666666577</v>
      </c>
      <c r="AI41" s="234">
        <f ca="1">MIN(25%,(TblConstr[[#This Row],[Tot Fac]]+TblConstr[[#This Row],[Dest Fac]])/(TblConstr[[#This Row],[Land]]-TblExplore[[#This Row],[Land Bonus]]*20))</f>
        <v>0.10368663594470046</v>
      </c>
      <c r="AJ41" s="234">
        <f ca="1">MIN(25%,(TblConstr[[#This Row],[Tot Fac]]+TblConstr[[#This Row],[Dest Fac]])/TblConstr[[#This Row],[Land]])</f>
        <v>0.10368663594470046</v>
      </c>
      <c r="AK41" s="113">
        <f ca="1">TblProd[[#This Row],[Platinum]]</f>
        <v>16253</v>
      </c>
      <c r="AL41" s="113">
        <f ca="1">TblProd[[#This Row],[Lumber]]</f>
        <v>24133</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41" s="113">
        <f ca="1">ROUNDDOWN( MAX(1 - MIN(facs_constr_factor*TblConstr[[#This Row],[Facs -DB]],facs_constr_max) + tech_1_11*TblTech[[#This Row],[11-1]] + tech_6_3_2*TblTech[[#This Row],[6-3]] + tech_5_2_3*TblTech[[#This Row],[5-2]], 1-global_constr_cap) * TblConstr[[#This Row],[RCPA Lumber]],0)</f>
        <v>66</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P41" s="113">
        <f ca="1">ROUNDDOWN( MAX(1 - MIN(facs_constr_factor*TblConstr[[#This Row],[Facs DB]],facs_constr_max) + tech_1_11*TblTech[[#This Row],[1-11]] + tech_6_3_2*TblTech[[#This Row],[6-3]] + tech_5_2_3*TblTech[[#This Row],[5-2]], 1-global_constr_cap) * TblConstr[[#This Row],[RCPA Lumber]],0)</f>
        <v>66</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966</v>
      </c>
      <c r="AW41" s="113">
        <f ca="1">ROUND((MAX(TblConstr[[#This Row],[Buildings]],250,0.75*TblConstr[[#This Row],[Land]])-250) * 0.35+87.5,0)</f>
        <v>114</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119</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20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45</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15</v>
      </c>
      <c r="BM41" s="488" cm="1">
        <f t="array" aca="1" ref="BM41" ca="1">IF(TblConstr[[#This Row],[Hour]:[Hour]]&gt;12,OFFSET(TblConstr[[#This Row],[Tem]],-12,0),0)+OFFSET(TblConstr[[#This Row],[Tot Tem]],-1,0)-TblConstr[[#This Row],[Dest Tem]]</f>
        <v>20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20</v>
      </c>
      <c r="BR41" s="184"/>
      <c r="BS41" s="200"/>
      <c r="BT41" s="113">
        <f ca="1">TblConstr[[#This Row],[Land]]</f>
        <v>434</v>
      </c>
      <c r="BU41" s="205">
        <f ca="1">TblImps[[#This Row],[Time]]</f>
        <v>44406.291666666577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274</v>
      </c>
      <c r="DA41" s="113">
        <f t="shared" ca="1" si="4"/>
        <v>20</v>
      </c>
      <c r="DB41" s="49">
        <f t="shared" ca="1" si="5"/>
        <v>30</v>
      </c>
      <c r="DC41" s="113">
        <f t="shared" ca="1" si="6"/>
        <v>45</v>
      </c>
      <c r="DD41" s="113">
        <f t="shared" ca="1" si="7"/>
        <v>35</v>
      </c>
      <c r="DE41" s="49">
        <f t="shared" ca="1" si="8"/>
        <v>0</v>
      </c>
      <c r="DF41" s="113">
        <f t="shared" ca="1" si="9"/>
        <v>20</v>
      </c>
      <c r="DG41" s="113" cm="1">
        <f t="array" aca="1" ref="DG41" ca="1">INDEX(TblConstr[[Total Plain]:[Total Water]],ROW()-ROW(TblConstr[#Headers]),MATCH("Total "&amp;home_land,TblConstr[[#Headers],[Total Plain]:[Total Water]],0))+TblConstr[[#This Row],[Homes]]</f>
        <v>284</v>
      </c>
      <c r="DH41" s="49">
        <f t="shared" ca="1" si="10"/>
        <v>10</v>
      </c>
      <c r="DI41" s="49">
        <f t="shared" ca="1" si="0"/>
        <v>0</v>
      </c>
      <c r="DJ41" s="49">
        <f t="shared" ca="1" si="1"/>
        <v>0</v>
      </c>
    </row>
    <row r="42" spans="1:114" x14ac:dyDescent="0.2">
      <c r="A42" s="228">
        <f>TblRezone[[#This Row],[Hour]]</f>
        <v>39</v>
      </c>
      <c r="B42" s="229">
        <f ca="1">SUM(TblConstr[[#This Row],[Plain]:[Water]])</f>
        <v>20</v>
      </c>
      <c r="C42" s="230">
        <f ca="1">SUM(TblConstr[[#This Row],[Tot Hom]:[Tot Doc]])</f>
        <v>299</v>
      </c>
      <c r="D42" s="230">
        <f t="shared" si="2"/>
        <v>135</v>
      </c>
      <c r="E42" s="231"/>
      <c r="F42" s="74">
        <f ca="1">TblConstr[[#This Row],[Barren]]+TblConstr[[#This Row],[Buildings]]+TblConstr[[#This Row],[Incoming]]</f>
        <v>454</v>
      </c>
      <c r="G42" s="242">
        <f ca="1">OFFSET(TblConstr[[#This Row],[Plain]],-1,0)+TblConstr[[#This Row],[Ch_Plain]]</f>
        <v>20</v>
      </c>
      <c r="H42" s="236">
        <f ca="1">OFFSET(TblConstr[[#This Row],[Forest]],-1,0)+TblConstr[[#This Row],[Ch_Forest]]</f>
        <v>0</v>
      </c>
      <c r="I42" s="478">
        <f ca="1">OFFSET(TblConstr[[#This Row],[Mountain]],-1,0)+TblConstr[[#This Row],[Ch_Mountain]]</f>
        <v>0</v>
      </c>
      <c r="J42" s="482">
        <f ca="1">OFFSET(TblConstr[[#This Row],[Hill]],-1,0)+TblConstr[[#This Row],[Ch_Hill]]</f>
        <v>0</v>
      </c>
      <c r="K42" s="486">
        <f ca="1">OFFSET(TblConstr[[#This Row],[Swamp]],-1,0)+TblConstr[[#This Row],[Ch_Swamp]]</f>
        <v>0</v>
      </c>
      <c r="L42" s="239">
        <f ca="1">OFFSET(TblConstr[[#This Row],[Cavern]],-1,0)+TblConstr[[#This Row],[Ch_Cavern]]</f>
        <v>0</v>
      </c>
      <c r="M42" s="240">
        <f ca="1">OFFSET(TblConstr[[#This Row],[Water]],-1,0)+TblConstr[[#This Row],[Ch_Water]]</f>
        <v>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44406.333333333241</v>
      </c>
      <c r="AI42" s="234">
        <f ca="1">MIN(25%,(TblConstr[[#This Row],[Tot Fac]]+TblConstr[[#This Row],[Dest Fac]])/(TblConstr[[#This Row],[Land]]-TblExplore[[#This Row],[Land Bonus]]*20))</f>
        <v>0.10368663594470046</v>
      </c>
      <c r="AJ42" s="234">
        <f ca="1">MIN(25%,(TblConstr[[#This Row],[Tot Fac]]+TblConstr[[#This Row],[Dest Fac]])/TblConstr[[#This Row],[Land]])</f>
        <v>9.9118942731277526E-2</v>
      </c>
      <c r="AK42" s="113">
        <f ca="1">TblProd[[#This Row],[Platinum]]</f>
        <v>25297</v>
      </c>
      <c r="AL42" s="113">
        <f ca="1">TblProd[[#This Row],[Lumber]]</f>
        <v>24892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578</v>
      </c>
      <c r="AN42" s="113">
        <f ca="1">ROUNDDOWN( MAX(1 - MIN(facs_constr_factor*TblConstr[[#This Row],[Facs -DB]],facs_constr_max) + tech_1_11*TblTech[[#This Row],[11-1]] + tech_6_3_2*TblTech[[#This Row],[6-3]] + tech_5_2_3*TblTech[[#This Row],[5-2]], 1-global_constr_cap) * TblConstr[[#This Row],[RCPA Lumber]],0)</f>
        <v>69</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2" s="113">
        <f ca="1">ROUNDDOWN( MAX(1 - MIN(facs_constr_factor*TblConstr[[#This Row],[Facs DB]],facs_constr_max) + tech_1_11*TblTech[[#This Row],[1-11]] + tech_6_3_2*TblTech[[#This Row],[6-3]] + tech_5_2_3*TblTech[[#This Row],[5-2]], 1-global_constr_cap) * TblConstr[[#This Row],[RCPA Lumber]],0)</f>
        <v>71</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988</v>
      </c>
      <c r="AW42" s="113">
        <f ca="1">ROUND((MAX(TblConstr[[#This Row],[Buildings]],250,0.75*TblConstr[[#This Row],[Land]])-250) * 0.35+87.5,0)</f>
        <v>119</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119</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20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45</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15</v>
      </c>
      <c r="BM42" s="488" cm="1">
        <f t="array" aca="1" ref="BM42" ca="1">IF(TblConstr[[#This Row],[Hour]:[Hour]]&gt;12,OFFSET(TblConstr[[#This Row],[Tem]],-12,0),0)+OFFSET(TblConstr[[#This Row],[Tot Tem]],-1,0)-TblConstr[[#This Row],[Dest Tem]]</f>
        <v>20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20</v>
      </c>
      <c r="BR42" s="184"/>
      <c r="BS42" s="200"/>
      <c r="BT42" s="113">
        <f ca="1">TblConstr[[#This Row],[Land]]</f>
        <v>454</v>
      </c>
      <c r="BU42" s="205">
        <f ca="1">TblImps[[#This Row],[Time]]</f>
        <v>44406.333333333241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20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20</v>
      </c>
      <c r="CY42" s="184"/>
      <c r="CZ42" s="113">
        <f t="shared" ca="1" si="3"/>
        <v>294</v>
      </c>
      <c r="DA42" s="113">
        <f t="shared" ca="1" si="4"/>
        <v>20</v>
      </c>
      <c r="DB42" s="49">
        <f t="shared" ca="1" si="5"/>
        <v>30</v>
      </c>
      <c r="DC42" s="113">
        <f t="shared" ca="1" si="6"/>
        <v>45</v>
      </c>
      <c r="DD42" s="113">
        <f t="shared" ca="1" si="7"/>
        <v>35</v>
      </c>
      <c r="DE42" s="49">
        <f t="shared" ca="1" si="8"/>
        <v>0</v>
      </c>
      <c r="DF42" s="113">
        <f t="shared" ca="1" si="9"/>
        <v>20</v>
      </c>
      <c r="DG42" s="113" cm="1">
        <f t="array" aca="1" ref="DG42" ca="1">INDEX(TblConstr[[Total Plain]:[Total Water]],ROW()-ROW(TblConstr[#Headers]),MATCH("Total "&amp;home_land,TblConstr[[#Headers],[Total Plain]:[Total Water]],0))+TblConstr[[#This Row],[Homes]]</f>
        <v>304</v>
      </c>
      <c r="DH42" s="49">
        <f t="shared" ca="1" si="10"/>
        <v>10</v>
      </c>
      <c r="DI42" s="49">
        <f t="shared" ca="1" si="0"/>
        <v>0</v>
      </c>
      <c r="DJ42" s="49">
        <f t="shared" ca="1" si="1"/>
        <v>0</v>
      </c>
    </row>
    <row r="43" spans="1:114" x14ac:dyDescent="0.2">
      <c r="A43" s="228">
        <f>TblRezone[[#This Row],[Hour]]</f>
        <v>40</v>
      </c>
      <c r="B43" s="229">
        <f ca="1">SUM(TblConstr[[#This Row],[Plain]:[Water]])</f>
        <v>0</v>
      </c>
      <c r="C43" s="230">
        <f ca="1">SUM(TblConstr[[#This Row],[Tot Hom]:[Tot Doc]])</f>
        <v>299</v>
      </c>
      <c r="D43" s="230">
        <f t="shared" si="2"/>
        <v>155</v>
      </c>
      <c r="E43" s="231"/>
      <c r="F43" s="74">
        <f ca="1">TblConstr[[#This Row],[Barren]]+TblConstr[[#This Row],[Buildings]]+TblConstr[[#This Row],[Incoming]]</f>
        <v>454</v>
      </c>
      <c r="G43" s="242">
        <f ca="1">OFFSET(TblConstr[[#This Row],[Plain]],-1,0)+TblConstr[[#This Row],[Ch_Plain]]</f>
        <v>0</v>
      </c>
      <c r="H43" s="236">
        <f ca="1">OFFSET(TblConstr[[#This Row],[Forest]],-1,0)+TblConstr[[#This Row],[Ch_Forest]]</f>
        <v>0</v>
      </c>
      <c r="I43" s="478">
        <f ca="1">OFFSET(TblConstr[[#This Row],[Mountain]],-1,0)+TblConstr[[#This Row],[Ch_Mountain]]</f>
        <v>0</v>
      </c>
      <c r="J43" s="482">
        <f ca="1">OFFSET(TblConstr[[#This Row],[Hill]],-1,0)+TblConstr[[#This Row],[Ch_Hill]]</f>
        <v>0</v>
      </c>
      <c r="K43" s="486">
        <f ca="1">OFFSET(TblConstr[[#This Row],[Swamp]],-1,0)+TblConstr[[#This Row],[Ch_Swamp]]</f>
        <v>0</v>
      </c>
      <c r="L43" s="239">
        <f ca="1">OFFSET(TblConstr[[#This Row],[Cavern]],-1,0)+TblConstr[[#This Row],[Ch_Cavern]]</f>
        <v>0</v>
      </c>
      <c r="M43" s="240">
        <f ca="1">OFFSET(TblConstr[[#This Row],[Water]],-1,0)+TblConstr[[#This Row],[Ch_Water]]</f>
        <v>0</v>
      </c>
      <c r="N43" s="476">
        <f>TblRezone[[#This Row],[Hour]]</f>
        <v>40</v>
      </c>
      <c r="O43" s="232"/>
      <c r="P43" s="232">
        <v>20</v>
      </c>
      <c r="Q43" s="232"/>
      <c r="R43" s="204"/>
      <c r="S43" s="232"/>
      <c r="T43" s="232"/>
      <c r="U43" s="232"/>
      <c r="V43" s="232"/>
      <c r="W43" s="232"/>
      <c r="X43" s="232"/>
      <c r="Y43" s="232"/>
      <c r="Z43" s="232"/>
      <c r="AA43" s="232"/>
      <c r="AB43" s="232"/>
      <c r="AC43" s="232"/>
      <c r="AD43" s="232"/>
      <c r="AE43" s="232"/>
      <c r="AF43" s="232"/>
      <c r="AG43" s="232"/>
      <c r="AH43" s="233">
        <f ca="1">TblImps[[#This Row],[Time]]</f>
        <v>44406.374999999905</v>
      </c>
      <c r="AI43" s="234">
        <f ca="1">MIN(25%,(TblConstr[[#This Row],[Tot Fac]]+TblConstr[[#This Row],[Dest Fac]])/(TblConstr[[#This Row],[Land]]-TblExplore[[#This Row],[Land Bonus]]*20))</f>
        <v>9.9118942731277526E-2</v>
      </c>
      <c r="AJ43" s="234">
        <f ca="1">MIN(25%,(TblConstr[[#This Row],[Tot Fac]]+TblConstr[[#This Row],[Dest Fac]])/TblConstr[[#This Row],[Land]])</f>
        <v>9.9118942731277526E-2</v>
      </c>
      <c r="AK43" s="113">
        <f ca="1">TblProd[[#This Row],[Platinum]]</f>
        <v>34417</v>
      </c>
      <c r="AL43" s="113">
        <f ca="1">TblProd[[#This Row],[Lumber]]</f>
        <v>24223</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3" s="113">
        <f ca="1">ROUNDDOWN( MAX(1 - MIN(facs_constr_factor*TblConstr[[#This Row],[Facs -DB]],facs_constr_max) + tech_1_11*TblTech[[#This Row],[11-1]] + tech_6_3_2*TblTech[[#This Row],[6-3]] + tech_5_2_3*TblTech[[#This Row],[5-2]], 1-global_constr_cap) * TblConstr[[#This Row],[RCPA Lumber]],0)</f>
        <v>71</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3" s="113">
        <f ca="1">ROUNDDOWN( MAX(1 - MIN(facs_constr_factor*TblConstr[[#This Row],[Facs DB]],facs_constr_max) + tech_1_11*TblTech[[#This Row],[1-11]] + tech_6_3_2*TblTech[[#This Row],[6-3]] + tech_5_2_3*TblTech[[#This Row],[5-2]], 1-global_constr_cap) * TblConstr[[#This Row],[RCPA Lumber]],0)</f>
        <v>71</v>
      </c>
      <c r="AQ43" s="49">
        <f ca="1">TblConstr[[#This Row],[build -db]]*TblConstr[[#This Row],[CPA Platinum -DB]] + TblConstr[[#This Row],[build db]]*TblConstr[[#This Row],[CPA Platinum DB]]</f>
        <v>11920</v>
      </c>
      <c r="AR43" s="49">
        <f ca="1">TblConstr[[#This Row],[build -db]]*TblConstr[[#This Row],[CPA Lumber -DB]]+TblConstr[[#This Row],[build db]]*TblConstr[[#This Row],[CPA Lumber DB]]</f>
        <v>1420</v>
      </c>
      <c r="AS43" s="113">
        <f ca="1">MIN(SUM(OFFSET(TblConstr[[#This Row],[Plain]:[Water]],-1,0))+SUM(TblConstr[[#This Row],[Dest Hom]:[Dest Doc]])+IF(TblConstr[[#This Row],[Hour]]&gt;12,SUM(OFFSET(TblExplore[[#This Row],[Plains Explore]:[Water Explore]],-12,0)),0),SUM(TblConstr[[#This Row],[Hom]:[Doc]]))</f>
        <v>20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988</v>
      </c>
      <c r="AW43" s="113">
        <f ca="1">ROUND((MAX(TblConstr[[#This Row],[Buildings]],250,0.75*TblConstr[[#This Row],[Land]])-250) * 0.35+87.5,0)</f>
        <v>119</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119</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20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45</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15</v>
      </c>
      <c r="BM43" s="488" cm="1">
        <f t="array" aca="1" ref="BM43" ca="1">IF(TblConstr[[#This Row],[Hour]:[Hour]]&gt;12,OFFSET(TblConstr[[#This Row],[Tem]],-12,0),0)+OFFSET(TblConstr[[#This Row],[Tot Tem]],-1,0)-TblConstr[[#This Row],[Dest Tem]]</f>
        <v>20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20</v>
      </c>
      <c r="BR43" s="184"/>
      <c r="BS43" s="200"/>
      <c r="BT43" s="113">
        <f ca="1">TblConstr[[#This Row],[Land]]</f>
        <v>454</v>
      </c>
      <c r="BU43" s="205">
        <f ca="1">TblImps[[#This Row],[Time]]</f>
        <v>44406.374999999905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-20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294</v>
      </c>
      <c r="DA43" s="113">
        <f t="shared" ca="1" si="4"/>
        <v>20</v>
      </c>
      <c r="DB43" s="49">
        <f t="shared" ca="1" si="5"/>
        <v>30</v>
      </c>
      <c r="DC43" s="113">
        <f t="shared" ca="1" si="6"/>
        <v>45</v>
      </c>
      <c r="DD43" s="113">
        <f t="shared" ca="1" si="7"/>
        <v>35</v>
      </c>
      <c r="DE43" s="49">
        <f t="shared" ca="1" si="8"/>
        <v>0</v>
      </c>
      <c r="DF43" s="113">
        <f t="shared" ca="1" si="9"/>
        <v>20</v>
      </c>
      <c r="DG43" s="113" cm="1">
        <f t="array" aca="1" ref="DG43" ca="1">INDEX(TblConstr[[Total Plain]:[Total Water]],ROW()-ROW(TblConstr[#Headers]),MATCH("Total "&amp;home_land,TblConstr[[#Headers],[Total Plain]:[Total Water]],0))+TblConstr[[#This Row],[Homes]]</f>
        <v>304</v>
      </c>
      <c r="DH43" s="49">
        <f t="shared" ca="1" si="10"/>
        <v>10</v>
      </c>
      <c r="DI43" s="49">
        <f t="shared" ca="1" si="0"/>
        <v>0</v>
      </c>
      <c r="DJ43" s="49">
        <f t="shared" ca="1" si="1"/>
        <v>0</v>
      </c>
    </row>
    <row r="44" spans="1:114" x14ac:dyDescent="0.2">
      <c r="A44" s="228">
        <f>TblRezone[[#This Row],[Hour]]</f>
        <v>41</v>
      </c>
      <c r="B44" s="229">
        <f ca="1">SUM(TblConstr[[#This Row],[Plain]:[Water]])</f>
        <v>0</v>
      </c>
      <c r="C44" s="230">
        <f ca="1">SUM(TblConstr[[#This Row],[Tot Hom]:[Tot Doc]])</f>
        <v>299</v>
      </c>
      <c r="D44" s="230">
        <f t="shared" si="2"/>
        <v>155</v>
      </c>
      <c r="E44" s="231"/>
      <c r="F44" s="74">
        <f ca="1">TblConstr[[#This Row],[Barren]]+TblConstr[[#This Row],[Buildings]]+TblConstr[[#This Row],[Incoming]]</f>
        <v>454</v>
      </c>
      <c r="G44" s="242">
        <f ca="1">OFFSET(TblConstr[[#This Row],[Plain]],-1,0)+TblConstr[[#This Row],[Ch_Plain]]</f>
        <v>0</v>
      </c>
      <c r="H44" s="236">
        <f ca="1">OFFSET(TblConstr[[#This Row],[Forest]],-1,0)+TblConstr[[#This Row],[Ch_Forest]]</f>
        <v>0</v>
      </c>
      <c r="I44" s="478">
        <f ca="1">OFFSET(TblConstr[[#This Row],[Mountain]],-1,0)+TblConstr[[#This Row],[Ch_Mountain]]</f>
        <v>0</v>
      </c>
      <c r="J44" s="482">
        <f ca="1">OFFSET(TblConstr[[#This Row],[Hill]],-1,0)+TblConstr[[#This Row],[Ch_Hill]]</f>
        <v>0</v>
      </c>
      <c r="K44" s="486">
        <f ca="1">OFFSET(TblConstr[[#This Row],[Swamp]],-1,0)+TblConstr[[#This Row],[Ch_Swamp]]</f>
        <v>0</v>
      </c>
      <c r="L44" s="239">
        <f ca="1">OFFSET(TblConstr[[#This Row],[Cavern]],-1,0)+TblConstr[[#This Row],[Ch_Cavern]]</f>
        <v>0</v>
      </c>
      <c r="M44" s="240">
        <f ca="1">OFFSET(TblConstr[[#This Row],[Water]],-1,0)+TblConstr[[#This Row],[Ch_Water]]</f>
        <v>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44406.41666666657</v>
      </c>
      <c r="AI44" s="234">
        <f ca="1">MIN(25%,(TblConstr[[#This Row],[Tot Fac]]+TblConstr[[#This Row],[Dest Fac]])/(TblConstr[[#This Row],[Land]]-TblExplore[[#This Row],[Land Bonus]]*20))</f>
        <v>9.9118942731277526E-2</v>
      </c>
      <c r="AJ44" s="234">
        <f ca="1">MIN(25%,(TblConstr[[#This Row],[Tot Fac]]+TblConstr[[#This Row],[Dest Fac]])/TblConstr[[#This Row],[Land]])</f>
        <v>9.9118942731277526E-2</v>
      </c>
      <c r="AK44" s="113">
        <f ca="1">TblProd[[#This Row],[Platinum]]</f>
        <v>56098</v>
      </c>
      <c r="AL44" s="113">
        <f ca="1">TblProd[[#This Row],[Lumber]]</f>
        <v>24981</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4" s="113">
        <f ca="1">ROUNDDOWN( MAX(1 - MIN(facs_constr_factor*TblConstr[[#This Row],[Facs -DB]],facs_constr_max) + tech_1_11*TblTech[[#This Row],[11-1]] + tech_6_3_2*TblTech[[#This Row],[6-3]] + tech_5_2_3*TblTech[[#This Row],[5-2]], 1-global_constr_cap) * TblConstr[[#This Row],[RCPA Lumber]],0)</f>
        <v>71</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4" s="113">
        <f ca="1">ROUNDDOWN( MAX(1 - MIN(facs_constr_factor*TblConstr[[#This Row],[Facs DB]],facs_constr_max) + tech_1_11*TblTech[[#This Row],[1-11]] + tech_6_3_2*TblTech[[#This Row],[6-3]] + tech_5_2_3*TblTech[[#This Row],[5-2]], 1-global_constr_cap) * TblConstr[[#This Row],[RCPA Lumber]],0)</f>
        <v>71</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988</v>
      </c>
      <c r="AW44" s="113">
        <f ca="1">ROUND((MAX(TblConstr[[#This Row],[Buildings]],250,0.75*TblConstr[[#This Row],[Land]])-250) * 0.35+87.5,0)</f>
        <v>119</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119</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20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45</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15</v>
      </c>
      <c r="BM44" s="488" cm="1">
        <f t="array" aca="1" ref="BM44" ca="1">IF(TblConstr[[#This Row],[Hour]:[Hour]]&gt;12,OFFSET(TblConstr[[#This Row],[Tem]],-12,0),0)+OFFSET(TblConstr[[#This Row],[Tot Tem]],-1,0)-TblConstr[[#This Row],[Dest Tem]]</f>
        <v>20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20</v>
      </c>
      <c r="BR44" s="184"/>
      <c r="BS44" s="200"/>
      <c r="BT44" s="113">
        <f ca="1">TblConstr[[#This Row],[Land]]</f>
        <v>454</v>
      </c>
      <c r="BU44" s="205">
        <f ca="1">TblImps[[#This Row],[Time]]</f>
        <v>44406.41666666657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294</v>
      </c>
      <c r="DA44" s="113">
        <f t="shared" ca="1" si="4"/>
        <v>20</v>
      </c>
      <c r="DB44" s="49">
        <f t="shared" ca="1" si="5"/>
        <v>30</v>
      </c>
      <c r="DC44" s="113">
        <f t="shared" ca="1" si="6"/>
        <v>45</v>
      </c>
      <c r="DD44" s="113">
        <f t="shared" ca="1" si="7"/>
        <v>35</v>
      </c>
      <c r="DE44" s="49">
        <f t="shared" ca="1" si="8"/>
        <v>0</v>
      </c>
      <c r="DF44" s="113">
        <f t="shared" ca="1" si="9"/>
        <v>20</v>
      </c>
      <c r="DG44" s="113" cm="1">
        <f t="array" aca="1" ref="DG44" ca="1">INDEX(TblConstr[[Total Plain]:[Total Water]],ROW()-ROW(TblConstr[#Headers]),MATCH("Total "&amp;home_land,TblConstr[[#Headers],[Total Plain]:[Total Water]],0))+TblConstr[[#This Row],[Homes]]</f>
        <v>304</v>
      </c>
      <c r="DH44" s="49">
        <f t="shared" ca="1" si="10"/>
        <v>10</v>
      </c>
      <c r="DI44" s="49">
        <f t="shared" ca="1" si="0"/>
        <v>0</v>
      </c>
      <c r="DJ44" s="49">
        <f t="shared" ca="1" si="1"/>
        <v>0</v>
      </c>
    </row>
    <row r="45" spans="1:114" x14ac:dyDescent="0.2">
      <c r="A45" s="228">
        <f>TblRezone[[#This Row],[Hour]]</f>
        <v>42</v>
      </c>
      <c r="B45" s="229">
        <f ca="1">SUM(TblConstr[[#This Row],[Plain]:[Water]])</f>
        <v>0</v>
      </c>
      <c r="C45" s="230">
        <f ca="1">SUM(TblConstr[[#This Row],[Tot Hom]:[Tot Doc]])</f>
        <v>299</v>
      </c>
      <c r="D45" s="230">
        <f t="shared" si="2"/>
        <v>155</v>
      </c>
      <c r="E45" s="231"/>
      <c r="F45" s="74">
        <f ca="1">TblConstr[[#This Row],[Barren]]+TblConstr[[#This Row],[Buildings]]+TblConstr[[#This Row],[Incoming]]</f>
        <v>454</v>
      </c>
      <c r="G45" s="242">
        <f ca="1">OFFSET(TblConstr[[#This Row],[Plain]],-1,0)+TblConstr[[#This Row],[Ch_Plain]]</f>
        <v>0</v>
      </c>
      <c r="H45" s="236">
        <f ca="1">OFFSET(TblConstr[[#This Row],[Forest]],-1,0)+TblConstr[[#This Row],[Ch_Forest]]</f>
        <v>0</v>
      </c>
      <c r="I45" s="478">
        <f ca="1">OFFSET(TblConstr[[#This Row],[Mountain]],-1,0)+TblConstr[[#This Row],[Ch_Mountain]]</f>
        <v>0</v>
      </c>
      <c r="J45" s="482">
        <f ca="1">OFFSET(TblConstr[[#This Row],[Hill]],-1,0)+TblConstr[[#This Row],[Ch_Hill]]</f>
        <v>0</v>
      </c>
      <c r="K45" s="486">
        <f ca="1">OFFSET(TblConstr[[#This Row],[Swamp]],-1,0)+TblConstr[[#This Row],[Ch_Swamp]]</f>
        <v>0</v>
      </c>
      <c r="L45" s="239">
        <f ca="1">OFFSET(TblConstr[[#This Row],[Cavern]],-1,0)+TblConstr[[#This Row],[Ch_Cavern]]</f>
        <v>0</v>
      </c>
      <c r="M45" s="240">
        <f ca="1">OFFSET(TblConstr[[#This Row],[Water]],-1,0)+TblConstr[[#This Row],[Ch_Water]]</f>
        <v>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44406.458333333234</v>
      </c>
      <c r="AI45" s="234">
        <f ca="1">MIN(25%,(TblConstr[[#This Row],[Tot Fac]]+TblConstr[[#This Row],[Dest Fac]])/(TblConstr[[#This Row],[Land]]-TblExplore[[#This Row],[Land Bonus]]*20))</f>
        <v>9.9118942731277526E-2</v>
      </c>
      <c r="AJ45" s="234">
        <f ca="1">MIN(25%,(TblConstr[[#This Row],[Tot Fac]]+TblConstr[[#This Row],[Dest Fac]])/TblConstr[[#This Row],[Land]])</f>
        <v>9.9118942731277526E-2</v>
      </c>
      <c r="AK45" s="113">
        <f ca="1">TblProd[[#This Row],[Platinum]]</f>
        <v>78451</v>
      </c>
      <c r="AL45" s="113">
        <f ca="1">TblProd[[#This Row],[Lumber]]</f>
        <v>25731</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5" s="113">
        <f ca="1">ROUNDDOWN( MAX(1 - MIN(facs_constr_factor*TblConstr[[#This Row],[Facs -DB]],facs_constr_max) + tech_1_11*TblTech[[#This Row],[11-1]] + tech_6_3_2*TblTech[[#This Row],[6-3]] + tech_5_2_3*TblTech[[#This Row],[5-2]], 1-global_constr_cap) * TblConstr[[#This Row],[RCPA Lumber]],0)</f>
        <v>71</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5" s="113">
        <f ca="1">ROUNDDOWN( MAX(1 - MIN(facs_constr_factor*TblConstr[[#This Row],[Facs DB]],facs_constr_max) + tech_1_11*TblTech[[#This Row],[1-11]] + tech_6_3_2*TblTech[[#This Row],[6-3]] + tech_5_2_3*TblTech[[#This Row],[5-2]], 1-global_constr_cap) * TblConstr[[#This Row],[RCPA Lumber]],0)</f>
        <v>71</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988</v>
      </c>
      <c r="AW45" s="113">
        <f ca="1">ROUND((MAX(TblConstr[[#This Row],[Buildings]],250,0.75*TblConstr[[#This Row],[Land]])-250) * 0.35+87.5,0)</f>
        <v>119</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119</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20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45</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15</v>
      </c>
      <c r="BM45" s="488" cm="1">
        <f t="array" aca="1" ref="BM45" ca="1">IF(TblConstr[[#This Row],[Hour]:[Hour]]&gt;12,OFFSET(TblConstr[[#This Row],[Tem]],-12,0),0)+OFFSET(TblConstr[[#This Row],[Tot Tem]],-1,0)-TblConstr[[#This Row],[Dest Tem]]</f>
        <v>20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20</v>
      </c>
      <c r="BR45" s="184"/>
      <c r="BS45" s="200"/>
      <c r="BT45" s="113">
        <f ca="1">TblConstr[[#This Row],[Land]]</f>
        <v>454</v>
      </c>
      <c r="BU45" s="205">
        <f ca="1">TblImps[[#This Row],[Time]]</f>
        <v>44406.458333333234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294</v>
      </c>
      <c r="DA45" s="113">
        <f t="shared" ca="1" si="4"/>
        <v>20</v>
      </c>
      <c r="DB45" s="49">
        <f t="shared" ca="1" si="5"/>
        <v>30</v>
      </c>
      <c r="DC45" s="113">
        <f t="shared" ca="1" si="6"/>
        <v>45</v>
      </c>
      <c r="DD45" s="113">
        <f t="shared" ca="1" si="7"/>
        <v>35</v>
      </c>
      <c r="DE45" s="49">
        <f t="shared" ca="1" si="8"/>
        <v>0</v>
      </c>
      <c r="DF45" s="113">
        <f t="shared" ca="1" si="9"/>
        <v>20</v>
      </c>
      <c r="DG45" s="113" cm="1">
        <f t="array" aca="1" ref="DG45" ca="1">INDEX(TblConstr[[Total Plain]:[Total Water]],ROW()-ROW(TblConstr[#Headers]),MATCH("Total "&amp;home_land,TblConstr[[#Headers],[Total Plain]:[Total Water]],0))+TblConstr[[#This Row],[Homes]]</f>
        <v>304</v>
      </c>
      <c r="DH45" s="49">
        <f t="shared" ca="1" si="10"/>
        <v>10</v>
      </c>
      <c r="DI45" s="49">
        <f t="shared" ca="1" si="0"/>
        <v>0</v>
      </c>
      <c r="DJ45" s="49">
        <f t="shared" ca="1" si="1"/>
        <v>0</v>
      </c>
    </row>
    <row r="46" spans="1:114" x14ac:dyDescent="0.2">
      <c r="A46" s="228">
        <f>TblRezone[[#This Row],[Hour]]</f>
        <v>43</v>
      </c>
      <c r="B46" s="229">
        <f ca="1">SUM(TblConstr[[#This Row],[Plain]:[Water]])</f>
        <v>0</v>
      </c>
      <c r="C46" s="230">
        <f ca="1">SUM(TblConstr[[#This Row],[Tot Hom]:[Tot Doc]])</f>
        <v>299</v>
      </c>
      <c r="D46" s="230">
        <f t="shared" si="2"/>
        <v>155</v>
      </c>
      <c r="E46" s="231"/>
      <c r="F46" s="74">
        <f ca="1">TblConstr[[#This Row],[Barren]]+TblConstr[[#This Row],[Buildings]]+TblConstr[[#This Row],[Incoming]]</f>
        <v>454</v>
      </c>
      <c r="G46" s="242">
        <f ca="1">OFFSET(TblConstr[[#This Row],[Plain]],-1,0)+TblConstr[[#This Row],[Ch_Plain]]</f>
        <v>0</v>
      </c>
      <c r="H46" s="236">
        <f ca="1">OFFSET(TblConstr[[#This Row],[Forest]],-1,0)+TblConstr[[#This Row],[Ch_Forest]]</f>
        <v>0</v>
      </c>
      <c r="I46" s="478">
        <f ca="1">OFFSET(TblConstr[[#This Row],[Mountain]],-1,0)+TblConstr[[#This Row],[Ch_Mountain]]</f>
        <v>0</v>
      </c>
      <c r="J46" s="482">
        <f ca="1">OFFSET(TblConstr[[#This Row],[Hill]],-1,0)+TblConstr[[#This Row],[Ch_Hill]]</f>
        <v>0</v>
      </c>
      <c r="K46" s="486">
        <f ca="1">OFFSET(TblConstr[[#This Row],[Swamp]],-1,0)+TblConstr[[#This Row],[Ch_Swamp]]</f>
        <v>0</v>
      </c>
      <c r="L46" s="239">
        <f ca="1">OFFSET(TblConstr[[#This Row],[Cavern]],-1,0)+TblConstr[[#This Row],[Ch_Cavern]]</f>
        <v>0</v>
      </c>
      <c r="M46" s="240">
        <f ca="1">OFFSET(TblConstr[[#This Row],[Water]],-1,0)+TblConstr[[#This Row],[Ch_Water]]</f>
        <v>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44406.499999999898</v>
      </c>
      <c r="AI46" s="234">
        <f ca="1">MIN(25%,(TblConstr[[#This Row],[Tot Fac]]+TblConstr[[#This Row],[Dest Fac]])/(TblConstr[[#This Row],[Land]]-TblExplore[[#This Row],[Land Bonus]]*20))</f>
        <v>9.9118942731277526E-2</v>
      </c>
      <c r="AJ46" s="234">
        <f ca="1">MIN(25%,(TblConstr[[#This Row],[Tot Fac]]+TblConstr[[#This Row],[Dest Fac]])/TblConstr[[#This Row],[Land]])</f>
        <v>9.9118942731277526E-2</v>
      </c>
      <c r="AK46" s="113">
        <f ca="1">TblProd[[#This Row],[Platinum]]</f>
        <v>101502</v>
      </c>
      <c r="AL46" s="113">
        <f ca="1">TblProd[[#This Row],[Lumber]]</f>
        <v>26474</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6" s="113">
        <f ca="1">ROUNDDOWN( MAX(1 - MIN(facs_constr_factor*TblConstr[[#This Row],[Facs -DB]],facs_constr_max) + tech_1_11*TblTech[[#This Row],[11-1]] + tech_6_3_2*TblTech[[#This Row],[6-3]] + tech_5_2_3*TblTech[[#This Row],[5-2]], 1-global_constr_cap) * TblConstr[[#This Row],[RCPA Lumber]],0)</f>
        <v>71</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6" s="113">
        <f ca="1">ROUNDDOWN( MAX(1 - MIN(facs_constr_factor*TblConstr[[#This Row],[Facs DB]],facs_constr_max) + tech_1_11*TblTech[[#This Row],[1-11]] + tech_6_3_2*TblTech[[#This Row],[6-3]] + tech_5_2_3*TblTech[[#This Row],[5-2]], 1-global_constr_cap) * TblConstr[[#This Row],[RCPA Lumber]],0)</f>
        <v>71</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988</v>
      </c>
      <c r="AW46" s="113">
        <f ca="1">ROUND((MAX(TblConstr[[#This Row],[Buildings]],250,0.75*TblConstr[[#This Row],[Land]])-250) * 0.35+87.5,0)</f>
        <v>119</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119</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20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45</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15</v>
      </c>
      <c r="BM46" s="488" cm="1">
        <f t="array" aca="1" ref="BM46" ca="1">IF(TblConstr[[#This Row],[Hour]:[Hour]]&gt;12,OFFSET(TblConstr[[#This Row],[Tem]],-12,0),0)+OFFSET(TblConstr[[#This Row],[Tot Tem]],-1,0)-TblConstr[[#This Row],[Dest Tem]]</f>
        <v>20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20</v>
      </c>
      <c r="BR46" s="184"/>
      <c r="BS46" s="200"/>
      <c r="BT46" s="113">
        <f ca="1">TblConstr[[#This Row],[Land]]</f>
        <v>454</v>
      </c>
      <c r="BU46" s="205">
        <f ca="1">TblImps[[#This Row],[Time]]</f>
        <v>44406.499999999898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294</v>
      </c>
      <c r="DA46" s="113">
        <f t="shared" ca="1" si="4"/>
        <v>20</v>
      </c>
      <c r="DB46" s="49">
        <f t="shared" ca="1" si="5"/>
        <v>30</v>
      </c>
      <c r="DC46" s="113">
        <f t="shared" ca="1" si="6"/>
        <v>45</v>
      </c>
      <c r="DD46" s="113">
        <f t="shared" ca="1" si="7"/>
        <v>35</v>
      </c>
      <c r="DE46" s="49">
        <f t="shared" ca="1" si="8"/>
        <v>0</v>
      </c>
      <c r="DF46" s="113">
        <f t="shared" ca="1" si="9"/>
        <v>20</v>
      </c>
      <c r="DG46" s="113" cm="1">
        <f t="array" aca="1" ref="DG46" ca="1">INDEX(TblConstr[[Total Plain]:[Total Water]],ROW()-ROW(TblConstr[#Headers]),MATCH("Total "&amp;home_land,TblConstr[[#Headers],[Total Plain]:[Total Water]],0))+TblConstr[[#This Row],[Homes]]</f>
        <v>304</v>
      </c>
      <c r="DH46" s="49">
        <f t="shared" ca="1" si="10"/>
        <v>10</v>
      </c>
      <c r="DI46" s="49">
        <f t="shared" ca="1" si="0"/>
        <v>0</v>
      </c>
      <c r="DJ46" s="49">
        <f t="shared" ca="1" si="1"/>
        <v>0</v>
      </c>
    </row>
    <row r="47" spans="1:114" x14ac:dyDescent="0.2">
      <c r="A47" s="228">
        <f>TblRezone[[#This Row],[Hour]]</f>
        <v>44</v>
      </c>
      <c r="B47" s="229">
        <f ca="1">SUM(TblConstr[[#This Row],[Plain]:[Water]])</f>
        <v>0</v>
      </c>
      <c r="C47" s="230">
        <f ca="1">SUM(TblConstr[[#This Row],[Tot Hom]:[Tot Doc]])</f>
        <v>299</v>
      </c>
      <c r="D47" s="230">
        <f t="shared" ref="D47:D75" si="11">SUM(O36:AG47)</f>
        <v>155</v>
      </c>
      <c r="E47" s="231"/>
      <c r="F47" s="74">
        <f ca="1">TblConstr[[#This Row],[Barren]]+TblConstr[[#This Row],[Buildings]]+TblConstr[[#This Row],[Incoming]]</f>
        <v>454</v>
      </c>
      <c r="G47" s="242">
        <f ca="1">OFFSET(TblConstr[[#This Row],[Plain]],-1,0)+TblConstr[[#This Row],[Ch_Plain]]</f>
        <v>0</v>
      </c>
      <c r="H47" s="236">
        <f ca="1">OFFSET(TblConstr[[#This Row],[Forest]],-1,0)+TblConstr[[#This Row],[Ch_Forest]]</f>
        <v>0</v>
      </c>
      <c r="I47" s="478">
        <f ca="1">OFFSET(TblConstr[[#This Row],[Mountain]],-1,0)+TblConstr[[#This Row],[Ch_Mountain]]</f>
        <v>0</v>
      </c>
      <c r="J47" s="482">
        <f ca="1">OFFSET(TblConstr[[#This Row],[Hill]],-1,0)+TblConstr[[#This Row],[Ch_Hill]]</f>
        <v>0</v>
      </c>
      <c r="K47" s="486">
        <f ca="1">OFFSET(TblConstr[[#This Row],[Swamp]],-1,0)+TblConstr[[#This Row],[Ch_Swamp]]</f>
        <v>0</v>
      </c>
      <c r="L47" s="239">
        <f ca="1">OFFSET(TblConstr[[#This Row],[Cavern]],-1,0)+TblConstr[[#This Row],[Ch_Cavern]]</f>
        <v>0</v>
      </c>
      <c r="M47" s="240">
        <f ca="1">OFFSET(TblConstr[[#This Row],[Water]],-1,0)+TblConstr[[#This Row],[Ch_Water]]</f>
        <v>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44406.541666666562</v>
      </c>
      <c r="AI47" s="234">
        <f ca="1">MIN(25%,(TblConstr[[#This Row],[Tot Fac]]+TblConstr[[#This Row],[Dest Fac]])/(TblConstr[[#This Row],[Land]]-TblExplore[[#This Row],[Land Bonus]]*20))</f>
        <v>9.9118942731277526E-2</v>
      </c>
      <c r="AJ47" s="234">
        <f ca="1">MIN(25%,(TblConstr[[#This Row],[Tot Fac]]+TblConstr[[#This Row],[Dest Fac]])/TblConstr[[#This Row],[Land]])</f>
        <v>9.9118942731277526E-2</v>
      </c>
      <c r="AK47" s="113">
        <f ca="1">TblProd[[#This Row],[Platinum]]</f>
        <v>124559</v>
      </c>
      <c r="AL47" s="113">
        <f ca="1">TblProd[[#This Row],[Lumber]]</f>
        <v>27209</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7" s="113">
        <f ca="1">ROUNDDOWN( MAX(1 - MIN(facs_constr_factor*TblConstr[[#This Row],[Facs -DB]],facs_constr_max) + tech_1_11*TblTech[[#This Row],[11-1]] + tech_6_3_2*TblTech[[#This Row],[6-3]] + tech_5_2_3*TblTech[[#This Row],[5-2]], 1-global_constr_cap) * TblConstr[[#This Row],[RCPA Lumber]],0)</f>
        <v>71</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7" s="113">
        <f ca="1">ROUNDDOWN( MAX(1 - MIN(facs_constr_factor*TblConstr[[#This Row],[Facs DB]],facs_constr_max) + tech_1_11*TblTech[[#This Row],[1-11]] + tech_6_3_2*TblTech[[#This Row],[6-3]] + tech_5_2_3*TblTech[[#This Row],[5-2]], 1-global_constr_cap) * TblConstr[[#This Row],[RCPA Lumber]],0)</f>
        <v>71</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988</v>
      </c>
      <c r="AW47" s="113">
        <f ca="1">ROUND((MAX(TblConstr[[#This Row],[Buildings]],250,0.75*TblConstr[[#This Row],[Land]])-250) * 0.35+87.5,0)</f>
        <v>119</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119</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20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45</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15</v>
      </c>
      <c r="BM47" s="488" cm="1">
        <f t="array" aca="1" ref="BM47" ca="1">IF(TblConstr[[#This Row],[Hour]:[Hour]]&gt;12,OFFSET(TblConstr[[#This Row],[Tem]],-12,0),0)+OFFSET(TblConstr[[#This Row],[Tot Tem]],-1,0)-TblConstr[[#This Row],[Dest Tem]]</f>
        <v>20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20</v>
      </c>
      <c r="BR47" s="184"/>
      <c r="BS47" s="200"/>
      <c r="BT47" s="113">
        <f ca="1">TblConstr[[#This Row],[Land]]</f>
        <v>454</v>
      </c>
      <c r="BU47" s="205">
        <f ca="1">TblImps[[#This Row],[Time]]</f>
        <v>44406.541666666562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294</v>
      </c>
      <c r="DA47" s="113">
        <f t="shared" ca="1" si="4"/>
        <v>20</v>
      </c>
      <c r="DB47" s="49">
        <f t="shared" ca="1" si="5"/>
        <v>30</v>
      </c>
      <c r="DC47" s="113">
        <f t="shared" ca="1" si="6"/>
        <v>45</v>
      </c>
      <c r="DD47" s="113">
        <f t="shared" ca="1" si="7"/>
        <v>35</v>
      </c>
      <c r="DE47" s="49">
        <f t="shared" ca="1" si="8"/>
        <v>0</v>
      </c>
      <c r="DF47" s="113">
        <f t="shared" ca="1" si="9"/>
        <v>20</v>
      </c>
      <c r="DG47" s="113" cm="1">
        <f t="array" aca="1" ref="DG47" ca="1">INDEX(TblConstr[[Total Plain]:[Total Water]],ROW()-ROW(TblConstr[#Headers]),MATCH("Total "&amp;home_land,TblConstr[[#Headers],[Total Plain]:[Total Water]],0))+TblConstr[[#This Row],[Homes]]</f>
        <v>304</v>
      </c>
      <c r="DH47" s="49">
        <f t="shared" ca="1" si="10"/>
        <v>10</v>
      </c>
      <c r="DI47" s="49">
        <f t="shared" ca="1" si="0"/>
        <v>0</v>
      </c>
      <c r="DJ47" s="49">
        <f t="shared" ca="1" si="1"/>
        <v>0</v>
      </c>
    </row>
    <row r="48" spans="1:114" x14ac:dyDescent="0.2">
      <c r="A48" s="228">
        <f>TblRezone[[#This Row],[Hour]]</f>
        <v>45</v>
      </c>
      <c r="B48" s="229">
        <f ca="1">SUM(TblConstr[[#This Row],[Plain]:[Water]])</f>
        <v>0</v>
      </c>
      <c r="C48" s="230">
        <f ca="1">SUM(TblConstr[[#This Row],[Tot Hom]:[Tot Doc]])</f>
        <v>299</v>
      </c>
      <c r="D48" s="230">
        <f t="shared" si="11"/>
        <v>155</v>
      </c>
      <c r="E48" s="231"/>
      <c r="F48" s="74">
        <f ca="1">TblConstr[[#This Row],[Barren]]+TblConstr[[#This Row],[Buildings]]+TblConstr[[#This Row],[Incoming]]</f>
        <v>454</v>
      </c>
      <c r="G48" s="242">
        <f ca="1">OFFSET(TblConstr[[#This Row],[Plain]],-1,0)+TblConstr[[#This Row],[Ch_Plain]]</f>
        <v>0</v>
      </c>
      <c r="H48" s="236">
        <f ca="1">OFFSET(TblConstr[[#This Row],[Forest]],-1,0)+TblConstr[[#This Row],[Ch_Forest]]</f>
        <v>0</v>
      </c>
      <c r="I48" s="478">
        <f ca="1">OFFSET(TblConstr[[#This Row],[Mountain]],-1,0)+TblConstr[[#This Row],[Ch_Mountain]]</f>
        <v>0</v>
      </c>
      <c r="J48" s="482">
        <f ca="1">OFFSET(TblConstr[[#This Row],[Hill]],-1,0)+TblConstr[[#This Row],[Ch_Hill]]</f>
        <v>0</v>
      </c>
      <c r="K48" s="486">
        <f ca="1">OFFSET(TblConstr[[#This Row],[Swamp]],-1,0)+TblConstr[[#This Row],[Ch_Swamp]]</f>
        <v>0</v>
      </c>
      <c r="L48" s="239">
        <f ca="1">OFFSET(TblConstr[[#This Row],[Cavern]],-1,0)+TblConstr[[#This Row],[Ch_Cavern]]</f>
        <v>0</v>
      </c>
      <c r="M48" s="240">
        <f ca="1">OFFSET(TblConstr[[#This Row],[Water]],-1,0)+TblConstr[[#This Row],[Ch_Water]]</f>
        <v>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44406.583333333227</v>
      </c>
      <c r="AI48" s="234">
        <f ca="1">MIN(25%,(TblConstr[[#This Row],[Tot Fac]]+TblConstr[[#This Row],[Dest Fac]])/(TblConstr[[#This Row],[Land]]-TblExplore[[#This Row],[Land Bonus]]*20))</f>
        <v>9.9118942731277526E-2</v>
      </c>
      <c r="AJ48" s="234">
        <f ca="1">MIN(25%,(TblConstr[[#This Row],[Tot Fac]]+TblConstr[[#This Row],[Dest Fac]])/TblConstr[[#This Row],[Land]])</f>
        <v>9.9118942731277526E-2</v>
      </c>
      <c r="AK48" s="113">
        <f ca="1">TblProd[[#This Row],[Platinum]]</f>
        <v>147616</v>
      </c>
      <c r="AL48" s="113">
        <f ca="1">TblProd[[#This Row],[Lumber]]</f>
        <v>27937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8" s="113">
        <f ca="1">ROUNDDOWN( MAX(1 - MIN(facs_constr_factor*TblConstr[[#This Row],[Facs -DB]],facs_constr_max) + tech_1_11*TblTech[[#This Row],[11-1]] + tech_6_3_2*TblTech[[#This Row],[6-3]] + tech_5_2_3*TblTech[[#This Row],[5-2]], 1-global_constr_cap) * TblConstr[[#This Row],[RCPA Lumber]],0)</f>
        <v>71</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8" s="113">
        <f ca="1">ROUNDDOWN( MAX(1 - MIN(facs_constr_factor*TblConstr[[#This Row],[Facs DB]],facs_constr_max) + tech_1_11*TblTech[[#This Row],[1-11]] + tech_6_3_2*TblTech[[#This Row],[6-3]] + tech_5_2_3*TblTech[[#This Row],[5-2]], 1-global_constr_cap) * TblConstr[[#This Row],[RCPA Lumber]],0)</f>
        <v>71</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988</v>
      </c>
      <c r="AW48" s="113">
        <f ca="1">ROUND((MAX(TblConstr[[#This Row],[Buildings]],250,0.75*TblConstr[[#This Row],[Land]])-250) * 0.35+87.5,0)</f>
        <v>119</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119</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20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45</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15</v>
      </c>
      <c r="BM48" s="488" cm="1">
        <f t="array" aca="1" ref="BM48" ca="1">IF(TblConstr[[#This Row],[Hour]:[Hour]]&gt;12,OFFSET(TblConstr[[#This Row],[Tem]],-12,0),0)+OFFSET(TblConstr[[#This Row],[Tot Tem]],-1,0)-TblConstr[[#This Row],[Dest Tem]]</f>
        <v>20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20</v>
      </c>
      <c r="BR48" s="184"/>
      <c r="BS48" s="200"/>
      <c r="BT48" s="113">
        <f ca="1">TblConstr[[#This Row],[Land]]</f>
        <v>454</v>
      </c>
      <c r="BU48" s="205">
        <f ca="1">TblImps[[#This Row],[Time]]</f>
        <v>44406.583333333227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294</v>
      </c>
      <c r="DA48" s="113">
        <f t="shared" ref="DA48:DA79" ca="1" si="13">H48+SUM(T37:U48)+SUM(BD48:BE48)</f>
        <v>20</v>
      </c>
      <c r="DB48" s="49">
        <f t="shared" ref="DB48:DB79" ca="1" si="14">I48+SUM(V37:W48)+SUM(BF48:BG48)</f>
        <v>30</v>
      </c>
      <c r="DC48" s="113">
        <f t="shared" ref="DC48:DC79" ca="1" si="15">J48+SUM(X37:Y48)+SUM(BH48:BI48)</f>
        <v>45</v>
      </c>
      <c r="DD48" s="113">
        <f t="shared" ref="DD48:DD79" ca="1" si="16">K48+SUM(AB37:AD48)+SUM(BL48:BN48)</f>
        <v>35</v>
      </c>
      <c r="DE48" s="49">
        <f t="shared" ref="DE48:DE79" ca="1" si="17">L48+SUM(AE37:AE48)+BO48</f>
        <v>0</v>
      </c>
      <c r="DF48" s="113">
        <f t="shared" ref="DF48:DF79" ca="1" si="18">M48+SUM(AG37:AG48)+BQ48</f>
        <v>20</v>
      </c>
      <c r="DG48" s="113" cm="1">
        <f t="array" aca="1" ref="DG48" ca="1">INDEX(TblConstr[[Total Plain]:[Total Water]],ROW()-ROW(TblConstr[#Headers]),MATCH("Total "&amp;home_land,TblConstr[[#Headers],[Total Plain]:[Total Water]],0))+TblConstr[[#This Row],[Homes]]</f>
        <v>304</v>
      </c>
      <c r="DH48" s="49">
        <f t="shared" ca="1" si="10"/>
        <v>10</v>
      </c>
      <c r="DI48" s="49">
        <f t="shared" ca="1" si="0"/>
        <v>0</v>
      </c>
      <c r="DJ48" s="49">
        <f t="shared" ca="1" si="1"/>
        <v>0</v>
      </c>
    </row>
    <row r="49" spans="1:114" x14ac:dyDescent="0.2">
      <c r="A49" s="228">
        <f>TblRezone[[#This Row],[Hour]]</f>
        <v>46</v>
      </c>
      <c r="B49" s="229">
        <f ca="1">SUM(TblConstr[[#This Row],[Plain]:[Water]])</f>
        <v>0</v>
      </c>
      <c r="C49" s="230">
        <f ca="1">SUM(TblConstr[[#This Row],[Tot Hom]:[Tot Doc]])</f>
        <v>299</v>
      </c>
      <c r="D49" s="230">
        <f t="shared" si="11"/>
        <v>155</v>
      </c>
      <c r="E49" s="231"/>
      <c r="F49" s="74">
        <f ca="1">TblConstr[[#This Row],[Barren]]+TblConstr[[#This Row],[Buildings]]+TblConstr[[#This Row],[Incoming]]</f>
        <v>454</v>
      </c>
      <c r="G49" s="242">
        <f ca="1">OFFSET(TblConstr[[#This Row],[Plain]],-1,0)+TblConstr[[#This Row],[Ch_Plain]]</f>
        <v>0</v>
      </c>
      <c r="H49" s="236">
        <f ca="1">OFFSET(TblConstr[[#This Row],[Forest]],-1,0)+TblConstr[[#This Row],[Ch_Forest]]</f>
        <v>0</v>
      </c>
      <c r="I49" s="478">
        <f ca="1">OFFSET(TblConstr[[#This Row],[Mountain]],-1,0)+TblConstr[[#This Row],[Ch_Mountain]]</f>
        <v>0</v>
      </c>
      <c r="J49" s="482">
        <f ca="1">OFFSET(TblConstr[[#This Row],[Hill]],-1,0)+TblConstr[[#This Row],[Ch_Hill]]</f>
        <v>0</v>
      </c>
      <c r="K49" s="486">
        <f ca="1">OFFSET(TblConstr[[#This Row],[Swamp]],-1,0)+TblConstr[[#This Row],[Ch_Swamp]]</f>
        <v>0</v>
      </c>
      <c r="L49" s="239">
        <f ca="1">OFFSET(TblConstr[[#This Row],[Cavern]],-1,0)+TblConstr[[#This Row],[Ch_Cavern]]</f>
        <v>0</v>
      </c>
      <c r="M49" s="240">
        <f ca="1">OFFSET(TblConstr[[#This Row],[Water]],-1,0)+TblConstr[[#This Row],[Ch_Water]]</f>
        <v>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44406.624999999891</v>
      </c>
      <c r="AI49" s="234">
        <f ca="1">MIN(25%,(TblConstr[[#This Row],[Tot Fac]]+TblConstr[[#This Row],[Dest Fac]])/(TblConstr[[#This Row],[Land]]-TblExplore[[#This Row],[Land Bonus]]*20))</f>
        <v>9.9118942731277526E-2</v>
      </c>
      <c r="AJ49" s="234">
        <f ca="1">MIN(25%,(TblConstr[[#This Row],[Tot Fac]]+TblConstr[[#This Row],[Dest Fac]])/TblConstr[[#This Row],[Land]])</f>
        <v>9.9118942731277526E-2</v>
      </c>
      <c r="AK49" s="113">
        <f ca="1">TblProd[[#This Row],[Platinum]]</f>
        <v>170673</v>
      </c>
      <c r="AL49" s="113">
        <f ca="1">TblProd[[#This Row],[Lumber]]</f>
        <v>28658</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9" s="113">
        <f ca="1">ROUNDDOWN( MAX(1 - MIN(facs_constr_factor*TblConstr[[#This Row],[Facs -DB]],facs_constr_max) + tech_1_11*TblTech[[#This Row],[11-1]] + tech_6_3_2*TblTech[[#This Row],[6-3]] + tech_5_2_3*TblTech[[#This Row],[5-2]], 1-global_constr_cap) * TblConstr[[#This Row],[RCPA Lumber]],0)</f>
        <v>71</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9" s="113">
        <f ca="1">ROUNDDOWN( MAX(1 - MIN(facs_constr_factor*TblConstr[[#This Row],[Facs DB]],facs_constr_max) + tech_1_11*TblTech[[#This Row],[1-11]] + tech_6_3_2*TblTech[[#This Row],[6-3]] + tech_5_2_3*TblTech[[#This Row],[5-2]], 1-global_constr_cap) * TblConstr[[#This Row],[RCPA Lumber]],0)</f>
        <v>71</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988</v>
      </c>
      <c r="AW49" s="113">
        <f ca="1">ROUND((MAX(TblConstr[[#This Row],[Buildings]],250,0.75*TblConstr[[#This Row],[Land]])-250) * 0.35+87.5,0)</f>
        <v>119</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119</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20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45</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15</v>
      </c>
      <c r="BM49" s="488" cm="1">
        <f t="array" aca="1" ref="BM49" ca="1">IF(TblConstr[[#This Row],[Hour]:[Hour]]&gt;12,OFFSET(TblConstr[[#This Row],[Tem]],-12,0),0)+OFFSET(TblConstr[[#This Row],[Tot Tem]],-1,0)-TblConstr[[#This Row],[Dest Tem]]</f>
        <v>20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20</v>
      </c>
      <c r="BR49" s="184"/>
      <c r="BS49" s="200"/>
      <c r="BT49" s="113">
        <f ca="1">TblConstr[[#This Row],[Land]]</f>
        <v>454</v>
      </c>
      <c r="BU49" s="205">
        <f ca="1">TblImps[[#This Row],[Time]]</f>
        <v>44406.624999999891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294</v>
      </c>
      <c r="DA49" s="113">
        <f t="shared" ca="1" si="13"/>
        <v>20</v>
      </c>
      <c r="DB49" s="49">
        <f t="shared" ca="1" si="14"/>
        <v>30</v>
      </c>
      <c r="DC49" s="113">
        <f t="shared" ca="1" si="15"/>
        <v>45</v>
      </c>
      <c r="DD49" s="113">
        <f t="shared" ca="1" si="16"/>
        <v>35</v>
      </c>
      <c r="DE49" s="49">
        <f t="shared" ca="1" si="17"/>
        <v>0</v>
      </c>
      <c r="DF49" s="113">
        <f t="shared" ca="1" si="18"/>
        <v>20</v>
      </c>
      <c r="DG49" s="113" cm="1">
        <f t="array" aca="1" ref="DG49" ca="1">INDEX(TblConstr[[Total Plain]:[Total Water]],ROW()-ROW(TblConstr[#Headers]),MATCH("Total "&amp;home_land,TblConstr[[#Headers],[Total Plain]:[Total Water]],0))+TblConstr[[#This Row],[Homes]]</f>
        <v>304</v>
      </c>
      <c r="DH49" s="49">
        <f t="shared" ca="1" si="10"/>
        <v>10</v>
      </c>
      <c r="DI49" s="49">
        <f t="shared" ca="1" si="0"/>
        <v>0</v>
      </c>
      <c r="DJ49" s="49">
        <f t="shared" ca="1" si="1"/>
        <v>0</v>
      </c>
    </row>
    <row r="50" spans="1:114" x14ac:dyDescent="0.2">
      <c r="A50" s="228">
        <f>TblRezone[[#This Row],[Hour]]</f>
        <v>47</v>
      </c>
      <c r="B50" s="229">
        <f ca="1">SUM(TblConstr[[#This Row],[Plain]:[Water]])</f>
        <v>0</v>
      </c>
      <c r="C50" s="230">
        <f ca="1">SUM(TblConstr[[#This Row],[Tot Hom]:[Tot Doc]])</f>
        <v>299</v>
      </c>
      <c r="D50" s="230">
        <f t="shared" si="11"/>
        <v>251</v>
      </c>
      <c r="E50" s="231"/>
      <c r="F50" s="74">
        <f ca="1">TblConstr[[#This Row],[Barren]]+TblConstr[[#This Row],[Buildings]]+TblConstr[[#This Row],[Incoming]]</f>
        <v>550</v>
      </c>
      <c r="G50" s="242">
        <f ca="1">OFFSET(TblConstr[[#This Row],[Plain]],-1,0)+TblConstr[[#This Row],[Ch_Plain]]</f>
        <v>0</v>
      </c>
      <c r="H50" s="236">
        <f ca="1">OFFSET(TblConstr[[#This Row],[Forest]],-1,0)+TblConstr[[#This Row],[Ch_Forest]]</f>
        <v>0</v>
      </c>
      <c r="I50" s="478">
        <f ca="1">OFFSET(TblConstr[[#This Row],[Mountain]],-1,0)+TblConstr[[#This Row],[Ch_Mountain]]</f>
        <v>0</v>
      </c>
      <c r="J50" s="482">
        <f ca="1">OFFSET(TblConstr[[#This Row],[Hill]],-1,0)+TblConstr[[#This Row],[Ch_Hill]]</f>
        <v>0</v>
      </c>
      <c r="K50" s="486">
        <f ca="1">OFFSET(TblConstr[[#This Row],[Swamp]],-1,0)+TblConstr[[#This Row],[Ch_Swamp]]</f>
        <v>0</v>
      </c>
      <c r="L50" s="239">
        <f ca="1">OFFSET(TblConstr[[#This Row],[Cavern]],-1,0)+TblConstr[[#This Row],[Ch_Cavern]]</f>
        <v>0</v>
      </c>
      <c r="M50" s="240">
        <f ca="1">OFFSET(TblConstr[[#This Row],[Water]],-1,0)+TblConstr[[#This Row],[Ch_Water]]</f>
        <v>0</v>
      </c>
      <c r="N50" s="476">
        <f>TblRezone[[#This Row],[Hour]]</f>
        <v>47</v>
      </c>
      <c r="O50" s="232"/>
      <c r="P50" s="232"/>
      <c r="Q50" s="232"/>
      <c r="R50" s="204">
        <v>96</v>
      </c>
      <c r="S50" s="232"/>
      <c r="T50" s="232"/>
      <c r="U50" s="232"/>
      <c r="V50" s="232"/>
      <c r="W50" s="232"/>
      <c r="X50" s="232"/>
      <c r="Y50" s="232"/>
      <c r="Z50" s="232"/>
      <c r="AA50" s="232"/>
      <c r="AB50" s="232"/>
      <c r="AC50" s="232"/>
      <c r="AD50" s="232"/>
      <c r="AE50" s="232"/>
      <c r="AF50" s="232"/>
      <c r="AG50" s="232"/>
      <c r="AH50" s="233">
        <f ca="1">TblImps[[#This Row],[Time]]</f>
        <v>44406.666666666555</v>
      </c>
      <c r="AI50" s="234">
        <f ca="1">MIN(25%,(TblConstr[[#This Row],[Tot Fac]]+TblConstr[[#This Row],[Dest Fac]])/(TblConstr[[#This Row],[Land]]-TblExplore[[#This Row],[Land Bonus]]*20))</f>
        <v>8.1818181818181818E-2</v>
      </c>
      <c r="AJ50" s="234">
        <f ca="1">MIN(25%,(TblConstr[[#This Row],[Tot Fac]]+TblConstr[[#This Row],[Dest Fac]])/TblConstr[[#This Row],[Land]])</f>
        <v>8.1818181818181818E-2</v>
      </c>
      <c r="AK50" s="113">
        <f ca="1">TblProd[[#This Row],[Platinum]]</f>
        <v>122786</v>
      </c>
      <c r="AL50" s="113">
        <f ca="1">TblProd[[#This Row],[Lumber]]</f>
        <v>20155</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739</v>
      </c>
      <c r="AN50" s="113">
        <f ca="1">ROUNDDOWN( MAX(1 - MIN(facs_constr_factor*TblConstr[[#This Row],[Facs -DB]],facs_constr_max) + tech_1_11*TblTech[[#This Row],[11-1]] + tech_6_3_2*TblTech[[#This Row],[6-3]] + tech_5_2_3*TblTech[[#This Row],[5-2]], 1-global_constr_cap) * TblConstr[[#This Row],[RCPA Lumber]],0)</f>
        <v>96</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739</v>
      </c>
      <c r="AP50" s="113">
        <f ca="1">ROUNDDOWN( MAX(1 - MIN(facs_constr_factor*TblConstr[[#This Row],[Facs DB]],facs_constr_max) + tech_1_11*TblTech[[#This Row],[1-11]] + tech_6_3_2*TblTech[[#This Row],[6-3]] + tech_5_2_3*TblTech[[#This Row],[5-2]], 1-global_constr_cap) * TblConstr[[#This Row],[RCPA Lumber]],0)</f>
        <v>96</v>
      </c>
      <c r="AQ50" s="49">
        <f ca="1">TblConstr[[#This Row],[build -db]]*TblConstr[[#This Row],[CPA Platinum -DB]] + TblConstr[[#This Row],[build db]]*TblConstr[[#This Row],[CPA Platinum DB]]</f>
        <v>70944</v>
      </c>
      <c r="AR50" s="49">
        <f ca="1">TblConstr[[#This Row],[build -db]]*TblConstr[[#This Row],[CPA Lumber -DB]]+TblConstr[[#This Row],[build db]]*TblConstr[[#This Row],[CPA Lumber DB]]</f>
        <v>9216</v>
      </c>
      <c r="AS50" s="113">
        <f ca="1">MIN(SUM(OFFSET(TblConstr[[#This Row],[Plain]:[Water]],-1,0))+SUM(TblConstr[[#This Row],[Dest Hom]:[Dest Doc]])+IF(TblConstr[[#This Row],[Hour]]&gt;12,SUM(OFFSET(TblExplore[[#This Row],[Plains Explore]:[Water Explore]],-12,0)),0),SUM(TblConstr[[#This Row],[Hom]:[Doc]]))</f>
        <v>96</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1099</v>
      </c>
      <c r="AW50" s="113">
        <f ca="1">ROUND((MAX(TblConstr[[#This Row],[Buildings]],250,0.75*TblConstr[[#This Row],[Land]])-250) * 0.35+87.5,0)</f>
        <v>144</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119</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20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45</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15</v>
      </c>
      <c r="BM50" s="488" cm="1">
        <f t="array" aca="1" ref="BM50" ca="1">IF(TblConstr[[#This Row],[Hour]:[Hour]]&gt;12,OFFSET(TblConstr[[#This Row],[Tem]],-12,0),0)+OFFSET(TblConstr[[#This Row],[Tot Tem]],-1,0)-TblConstr[[#This Row],[Dest Tem]]</f>
        <v>20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20</v>
      </c>
      <c r="BR50" s="184"/>
      <c r="BS50" s="200"/>
      <c r="BT50" s="113">
        <f ca="1">TblConstr[[#This Row],[Land]]</f>
        <v>550</v>
      </c>
      <c r="BU50" s="205">
        <f ca="1">TblImps[[#This Row],[Time]]</f>
        <v>44406.666666666555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390</v>
      </c>
      <c r="DA50" s="113">
        <f t="shared" ca="1" si="13"/>
        <v>20</v>
      </c>
      <c r="DB50" s="49">
        <f t="shared" ca="1" si="14"/>
        <v>30</v>
      </c>
      <c r="DC50" s="113">
        <f t="shared" ca="1" si="15"/>
        <v>45</v>
      </c>
      <c r="DD50" s="113">
        <f t="shared" ca="1" si="16"/>
        <v>35</v>
      </c>
      <c r="DE50" s="49">
        <f t="shared" ca="1" si="17"/>
        <v>0</v>
      </c>
      <c r="DF50" s="113">
        <f t="shared" ca="1" si="18"/>
        <v>20</v>
      </c>
      <c r="DG50" s="113" cm="1">
        <f t="array" aca="1" ref="DG50" ca="1">INDEX(TblConstr[[Total Plain]:[Total Water]],ROW()-ROW(TblConstr[#Headers]),MATCH("Total "&amp;home_land,TblConstr[[#Headers],[Total Plain]:[Total Water]],0))+TblConstr[[#This Row],[Homes]]</f>
        <v>400</v>
      </c>
      <c r="DH50" s="49">
        <f t="shared" ca="1" si="10"/>
        <v>10</v>
      </c>
      <c r="DI50" s="49">
        <f t="shared" ca="1" si="0"/>
        <v>0</v>
      </c>
      <c r="DJ50" s="49">
        <f t="shared" ca="1" si="1"/>
        <v>0</v>
      </c>
    </row>
    <row r="51" spans="1:114" x14ac:dyDescent="0.2">
      <c r="A51" s="228">
        <f>TblRezone[[#This Row],[Hour]]</f>
        <v>48</v>
      </c>
      <c r="B51" s="229">
        <f ca="1">SUM(TblConstr[[#This Row],[Plain]:[Water]])</f>
        <v>0</v>
      </c>
      <c r="C51" s="230">
        <f ca="1">SUM(TblConstr[[#This Row],[Tot Hom]:[Tot Doc]])</f>
        <v>434</v>
      </c>
      <c r="D51" s="230">
        <f t="shared" si="11"/>
        <v>123</v>
      </c>
      <c r="E51" s="231"/>
      <c r="F51" s="74">
        <f ca="1">TblConstr[[#This Row],[Barren]]+TblConstr[[#This Row],[Buildings]]+TblConstr[[#This Row],[Incoming]]</f>
        <v>557</v>
      </c>
      <c r="G51" s="242">
        <f ca="1">OFFSET(TblConstr[[#This Row],[Plain]],-1,0)+TblConstr[[#This Row],[Ch_Plain]]</f>
        <v>0</v>
      </c>
      <c r="H51" s="236">
        <f ca="1">OFFSET(TblConstr[[#This Row],[Forest]],-1,0)+TblConstr[[#This Row],[Ch_Forest]]</f>
        <v>0</v>
      </c>
      <c r="I51" s="478">
        <f ca="1">OFFSET(TblConstr[[#This Row],[Mountain]],-1,0)+TblConstr[[#This Row],[Ch_Mountain]]</f>
        <v>0</v>
      </c>
      <c r="J51" s="482">
        <f ca="1">OFFSET(TblConstr[[#This Row],[Hill]],-1,0)+TblConstr[[#This Row],[Ch_Hill]]</f>
        <v>0</v>
      </c>
      <c r="K51" s="486">
        <f ca="1">OFFSET(TblConstr[[#This Row],[Swamp]],-1,0)+TblConstr[[#This Row],[Ch_Swamp]]</f>
        <v>0</v>
      </c>
      <c r="L51" s="239">
        <f ca="1">OFFSET(TblConstr[[#This Row],[Cavern]],-1,0)+TblConstr[[#This Row],[Ch_Cavern]]</f>
        <v>0</v>
      </c>
      <c r="M51" s="240">
        <f ca="1">OFFSET(TblConstr[[#This Row],[Water]],-1,0)+TblConstr[[#This Row],[Ch_Water]]</f>
        <v>0</v>
      </c>
      <c r="N51" s="476">
        <f>TblRezone[[#This Row],[Hour]]</f>
        <v>48</v>
      </c>
      <c r="O51" s="232"/>
      <c r="P51" s="232"/>
      <c r="Q51" s="232"/>
      <c r="R51" s="204">
        <v>7</v>
      </c>
      <c r="S51" s="232"/>
      <c r="T51" s="232"/>
      <c r="U51" s="232"/>
      <c r="V51" s="232"/>
      <c r="W51" s="232"/>
      <c r="X51" s="232"/>
      <c r="Y51" s="232"/>
      <c r="Z51" s="232"/>
      <c r="AA51" s="232"/>
      <c r="AB51" s="232"/>
      <c r="AC51" s="232"/>
      <c r="AD51" s="232"/>
      <c r="AE51" s="232"/>
      <c r="AF51" s="232"/>
      <c r="AG51" s="232"/>
      <c r="AH51" s="233">
        <f ca="1">TblImps[[#This Row],[Time]]</f>
        <v>44406.708333333219</v>
      </c>
      <c r="AI51" s="234">
        <f ca="1">MIN(25%,(TblConstr[[#This Row],[Tot Fac]]+TblConstr[[#This Row],[Dest Fac]])/(TblConstr[[#This Row],[Land]]-TblExplore[[#This Row],[Land Bonus]]*20))</f>
        <v>8.0789946140035901E-2</v>
      </c>
      <c r="AJ51" s="234">
        <f ca="1">MIN(25%,(TblConstr[[#This Row],[Tot Fac]]+TblConstr[[#This Row],[Dest Fac]])/TblConstr[[#This Row],[Land]])</f>
        <v>8.0789946140035901E-2</v>
      </c>
      <c r="AK51" s="113">
        <f ca="1">TblProd[[#This Row],[Platinum]]</f>
        <v>179048</v>
      </c>
      <c r="AL51" s="113">
        <f ca="1">TblProd[[#This Row],[Lumber]]</f>
        <v>20239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766</v>
      </c>
      <c r="AN51" s="113">
        <f ca="1">ROUNDDOWN( MAX(1 - MIN(facs_constr_factor*TblConstr[[#This Row],[Facs -DB]],facs_constr_max) + tech_1_11*TblTech[[#This Row],[11-1]] + tech_6_3_2*TblTech[[#This Row],[6-3]] + tech_5_2_3*TblTech[[#This Row],[5-2]], 1-global_constr_cap) * TblConstr[[#This Row],[RCPA Lumber]],0)</f>
        <v>102</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766</v>
      </c>
      <c r="AP51" s="113">
        <f ca="1">ROUNDDOWN( MAX(1 - MIN(facs_constr_factor*TblConstr[[#This Row],[Facs DB]],facs_constr_max) + tech_1_11*TblTech[[#This Row],[1-11]] + tech_6_3_2*TblTech[[#This Row],[6-3]] + tech_5_2_3*TblTech[[#This Row],[5-2]], 1-global_constr_cap) * TblConstr[[#This Row],[RCPA Lumber]],0)</f>
        <v>102</v>
      </c>
      <c r="AQ51" s="49">
        <f ca="1">TblConstr[[#This Row],[build -db]]*TblConstr[[#This Row],[CPA Platinum -DB]] + TblConstr[[#This Row],[build db]]*TblConstr[[#This Row],[CPA Platinum DB]]</f>
        <v>5362</v>
      </c>
      <c r="AR51" s="49">
        <f ca="1">TblConstr[[#This Row],[build -db]]*TblConstr[[#This Row],[CPA Lumber -DB]]+TblConstr[[#This Row],[build db]]*TblConstr[[#This Row],[CPA Lumber DB]]</f>
        <v>714</v>
      </c>
      <c r="AS51" s="113">
        <f ca="1">MIN(SUM(OFFSET(TblConstr[[#This Row],[Plain]:[Water]],-1,0))+SUM(TblConstr[[#This Row],[Dest Hom]:[Dest Doc]])+IF(TblConstr[[#This Row],[Hour]]&gt;12,SUM(OFFSET(TblExplore[[#This Row],[Plains Explore]:[Water Explore]],-12,0)),0),SUM(TblConstr[[#This Row],[Hom]:[Doc]]))</f>
        <v>7</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1132</v>
      </c>
      <c r="AW51" s="113">
        <f ca="1">ROUND((MAX(TblConstr[[#This Row],[Buildings]],250,0.75*TblConstr[[#This Row],[Land]])-250) * 0.35+87.5,0)</f>
        <v>152</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244</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30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45</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15</v>
      </c>
      <c r="BM51" s="488" cm="1">
        <f t="array" aca="1" ref="BM51" ca="1">IF(TblConstr[[#This Row],[Hour]:[Hour]]&gt;12,OFFSET(TblConstr[[#This Row],[Tem]],-12,0),0)+OFFSET(TblConstr[[#This Row],[Tot Tem]],-1,0)-TblConstr[[#This Row],[Dest Tem]]</f>
        <v>20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20</v>
      </c>
      <c r="BR51" s="184"/>
      <c r="BS51" s="200"/>
      <c r="BT51" s="113">
        <f ca="1">TblConstr[[#This Row],[Land]]</f>
        <v>557</v>
      </c>
      <c r="BU51" s="205">
        <f ca="1">TblImps[[#This Row],[Time]]</f>
        <v>44406.708333333219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397</v>
      </c>
      <c r="DA51" s="113">
        <f t="shared" ca="1" si="13"/>
        <v>20</v>
      </c>
      <c r="DB51" s="49">
        <f t="shared" ca="1" si="14"/>
        <v>30</v>
      </c>
      <c r="DC51" s="113">
        <f t="shared" ca="1" si="15"/>
        <v>45</v>
      </c>
      <c r="DD51" s="113">
        <f t="shared" ca="1" si="16"/>
        <v>35</v>
      </c>
      <c r="DE51" s="49">
        <f t="shared" ca="1" si="17"/>
        <v>0</v>
      </c>
      <c r="DF51" s="113">
        <f t="shared" ca="1" si="18"/>
        <v>20</v>
      </c>
      <c r="DG51" s="113" cm="1">
        <f t="array" aca="1" ref="DG51" ca="1">INDEX(TblConstr[[Total Plain]:[Total Water]],ROW()-ROW(TblConstr[#Headers]),MATCH("Total "&amp;home_land,TblConstr[[#Headers],[Total Plain]:[Total Water]],0))+TblConstr[[#This Row],[Homes]]</f>
        <v>407</v>
      </c>
      <c r="DH51" s="49">
        <f t="shared" ca="1" si="10"/>
        <v>10</v>
      </c>
      <c r="DI51" s="49">
        <f t="shared" ca="1" si="0"/>
        <v>0</v>
      </c>
      <c r="DJ51" s="49">
        <f t="shared" ca="1" si="1"/>
        <v>0</v>
      </c>
    </row>
    <row r="52" spans="1:114" x14ac:dyDescent="0.2">
      <c r="A52" s="228">
        <f>TblRezone[[#This Row],[Hour]]</f>
        <v>49</v>
      </c>
      <c r="B52" s="229">
        <f ca="1">SUM(TblConstr[[#This Row],[Plain]:[Water]])</f>
        <v>0</v>
      </c>
      <c r="C52" s="230">
        <f ca="1">SUM(TblConstr[[#This Row],[Tot Hom]:[Tot Doc]])</f>
        <v>434</v>
      </c>
      <c r="D52" s="230">
        <f t="shared" si="11"/>
        <v>151</v>
      </c>
      <c r="E52" s="231"/>
      <c r="F52" s="74">
        <f ca="1">TblConstr[[#This Row],[Barren]]+TblConstr[[#This Row],[Buildings]]+TblConstr[[#This Row],[Incoming]]</f>
        <v>585</v>
      </c>
      <c r="G52" s="242">
        <f ca="1">OFFSET(TblConstr[[#This Row],[Plain]],-1,0)+TblConstr[[#This Row],[Ch_Plain]]</f>
        <v>0</v>
      </c>
      <c r="H52" s="236">
        <f ca="1">OFFSET(TblConstr[[#This Row],[Forest]],-1,0)+TblConstr[[#This Row],[Ch_Forest]]</f>
        <v>0</v>
      </c>
      <c r="I52" s="478">
        <f ca="1">OFFSET(TblConstr[[#This Row],[Mountain]],-1,0)+TblConstr[[#This Row],[Ch_Mountain]]</f>
        <v>0</v>
      </c>
      <c r="J52" s="482">
        <f ca="1">OFFSET(TblConstr[[#This Row],[Hill]],-1,0)+TblConstr[[#This Row],[Ch_Hill]]</f>
        <v>0</v>
      </c>
      <c r="K52" s="486">
        <f ca="1">OFFSET(TblConstr[[#This Row],[Swamp]],-1,0)+TblConstr[[#This Row],[Ch_Swamp]]</f>
        <v>0</v>
      </c>
      <c r="L52" s="239">
        <f ca="1">OFFSET(TblConstr[[#This Row],[Cavern]],-1,0)+TblConstr[[#This Row],[Ch_Cavern]]</f>
        <v>0</v>
      </c>
      <c r="M52" s="240">
        <f ca="1">OFFSET(TblConstr[[#This Row],[Water]],-1,0)+TblConstr[[#This Row],[Ch_Water]]</f>
        <v>0</v>
      </c>
      <c r="N52" s="476">
        <f>TblRezone[[#This Row],[Hour]]</f>
        <v>49</v>
      </c>
      <c r="O52" s="232">
        <v>23</v>
      </c>
      <c r="P52" s="232"/>
      <c r="Q52" s="232"/>
      <c r="R52" s="232">
        <v>5</v>
      </c>
      <c r="S52" s="232"/>
      <c r="T52" s="232"/>
      <c r="U52" s="232"/>
      <c r="V52" s="232"/>
      <c r="W52" s="232"/>
      <c r="X52" s="232"/>
      <c r="Y52" s="232"/>
      <c r="Z52" s="232"/>
      <c r="AA52" s="232"/>
      <c r="AB52" s="232"/>
      <c r="AC52" s="232"/>
      <c r="AD52" s="232"/>
      <c r="AE52" s="232"/>
      <c r="AF52" s="232"/>
      <c r="AG52" s="232"/>
      <c r="AH52" s="233">
        <f ca="1">TblImps[[#This Row],[Time]]</f>
        <v>44406.749999999884</v>
      </c>
      <c r="AI52" s="234">
        <f ca="1">MIN(25%,(TblConstr[[#This Row],[Tot Fac]]+TblConstr[[#This Row],[Dest Fac]])/(TblConstr[[#This Row],[Land]]-TblExplore[[#This Row],[Land Bonus]]*20))</f>
        <v>7.9646017699115043E-2</v>
      </c>
      <c r="AJ52" s="234">
        <f ca="1">MIN(25%,(TblConstr[[#This Row],[Tot Fac]]+TblConstr[[#This Row],[Dest Fac]])/TblConstr[[#This Row],[Land]])</f>
        <v>7.6923076923076927E-2</v>
      </c>
      <c r="AK52" s="113">
        <f ca="1">TblProd[[#This Row],[Platinum]]</f>
        <v>190631</v>
      </c>
      <c r="AL52" s="113">
        <f ca="1">TblProd[[#This Row],[Lumber]]</f>
        <v>18085</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776</v>
      </c>
      <c r="AN52" s="113">
        <f ca="1">ROUNDDOWN( MAX(1 - MIN(facs_constr_factor*TblConstr[[#This Row],[Facs -DB]],facs_constr_max) + tech_1_11*TblTech[[#This Row],[11-1]] + tech_6_3_2*TblTech[[#This Row],[6-3]] + tech_5_2_3*TblTech[[#This Row],[5-2]], 1-global_constr_cap) * TblConstr[[#This Row],[RCPA Lumber]],0)</f>
        <v>104</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788</v>
      </c>
      <c r="AP52" s="113">
        <f ca="1">ROUNDDOWN( MAX(1 - MIN(facs_constr_factor*TblConstr[[#This Row],[Facs DB]],facs_constr_max) + tech_1_11*TblTech[[#This Row],[1-11]] + tech_6_3_2*TblTech[[#This Row],[6-3]] + tech_5_2_3*TblTech[[#This Row],[5-2]], 1-global_constr_cap) * TblConstr[[#This Row],[RCPA Lumber]],0)</f>
        <v>106</v>
      </c>
      <c r="AQ52" s="49">
        <f ca="1">TblConstr[[#This Row],[build -db]]*TblConstr[[#This Row],[CPA Platinum -DB]] + TblConstr[[#This Row],[build db]]*TblConstr[[#This Row],[CPA Platinum DB]]</f>
        <v>21968</v>
      </c>
      <c r="AR52" s="49">
        <f ca="1">TblConstr[[#This Row],[build -db]]*TblConstr[[#This Row],[CPA Lumber -DB]]+TblConstr[[#This Row],[build db]]*TblConstr[[#This Row],[CPA Lumber DB]]</f>
        <v>2952</v>
      </c>
      <c r="AS52" s="113">
        <f ca="1">MIN(SUM(OFFSET(TblConstr[[#This Row],[Plain]:[Water]],-1,0))+SUM(TblConstr[[#This Row],[Dest Hom]:[Dest Doc]])+IF(TblConstr[[#This Row],[Hour]]&gt;12,SUM(OFFSET(TblExplore[[#This Row],[Plains Explore]:[Water Explore]],-12,0)),0),SUM(TblConstr[[#This Row],[Hom]:[Doc]]))</f>
        <v>8</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84"/>
      <c r="AV52" s="113">
        <f ca="1">ROUND((MAX(TblConstr[[#This Row],[Buildings]],250,0.75*TblConstr[[#This Row],[Land]])-250) * 1.53 + 850,0)</f>
        <v>1139</v>
      </c>
      <c r="AW52" s="113">
        <f ca="1">ROUND((MAX(TblConstr[[#This Row],[Buildings]],250,0.75*TblConstr[[#This Row],[Land]])-250) * 0.35+87.5,0)</f>
        <v>154</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244</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30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45</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15</v>
      </c>
      <c r="BM52" s="488" cm="1">
        <f t="array" aca="1" ref="BM52" ca="1">IF(TblConstr[[#This Row],[Hour]:[Hour]]&gt;12,OFFSET(TblConstr[[#This Row],[Tem]],-12,0),0)+OFFSET(TblConstr[[#This Row],[Tot Tem]],-1,0)-TblConstr[[#This Row],[Dest Tem]]</f>
        <v>20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20</v>
      </c>
      <c r="BR52" s="184"/>
      <c r="BS52" s="200"/>
      <c r="BT52" s="113">
        <f ca="1">TblConstr[[#This Row],[Land]]</f>
        <v>585</v>
      </c>
      <c r="BU52" s="205">
        <f ca="1">TblImps[[#This Row],[Time]]</f>
        <v>44406.749999999884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-3</v>
      </c>
      <c r="CY52" s="184"/>
      <c r="CZ52" s="113">
        <f t="shared" ca="1" si="12"/>
        <v>402</v>
      </c>
      <c r="DA52" s="113">
        <f t="shared" ca="1" si="13"/>
        <v>20</v>
      </c>
      <c r="DB52" s="49">
        <f t="shared" ca="1" si="14"/>
        <v>30</v>
      </c>
      <c r="DC52" s="113">
        <f t="shared" ca="1" si="15"/>
        <v>45</v>
      </c>
      <c r="DD52" s="113">
        <f t="shared" ca="1" si="16"/>
        <v>35</v>
      </c>
      <c r="DE52" s="49">
        <f t="shared" ca="1" si="17"/>
        <v>0</v>
      </c>
      <c r="DF52" s="113">
        <f t="shared" ca="1" si="18"/>
        <v>20</v>
      </c>
      <c r="DG52" s="113" cm="1">
        <f t="array" aca="1" ref="DG52" ca="1">INDEX(TblConstr[[Total Plain]:[Total Water]],ROW()-ROW(TblConstr[#Headers]),MATCH("Total "&amp;home_land,TblConstr[[#Headers],[Total Plain]:[Total Water]],0))+TblConstr[[#This Row],[Homes]]</f>
        <v>435</v>
      </c>
      <c r="DH52" s="49">
        <f t="shared" ca="1" si="10"/>
        <v>33</v>
      </c>
      <c r="DI52" s="49">
        <f t="shared" ca="1" si="0"/>
        <v>0</v>
      </c>
      <c r="DJ52" s="49">
        <f t="shared" ca="1" si="1"/>
        <v>0</v>
      </c>
    </row>
    <row r="53" spans="1:114" x14ac:dyDescent="0.2">
      <c r="A53" s="228">
        <f>TblRezone[[#This Row],[Hour]]</f>
        <v>50</v>
      </c>
      <c r="B53" s="229">
        <f ca="1">SUM(TblConstr[[#This Row],[Plain]:[Water]])</f>
        <v>0</v>
      </c>
      <c r="C53" s="230">
        <f ca="1">SUM(TblConstr[[#This Row],[Tot Hom]:[Tot Doc]])</f>
        <v>434</v>
      </c>
      <c r="D53" s="230">
        <f t="shared" si="11"/>
        <v>159</v>
      </c>
      <c r="E53" s="231"/>
      <c r="F53" s="74">
        <f ca="1">TblConstr[[#This Row],[Barren]]+TblConstr[[#This Row],[Buildings]]+TblConstr[[#This Row],[Incoming]]</f>
        <v>593</v>
      </c>
      <c r="G53" s="242">
        <f ca="1">OFFSET(TblConstr[[#This Row],[Plain]],-1,0)+TblConstr[[#This Row],[Ch_Plain]]</f>
        <v>0</v>
      </c>
      <c r="H53" s="236">
        <f ca="1">OFFSET(TblConstr[[#This Row],[Forest]],-1,0)+TblConstr[[#This Row],[Ch_Forest]]</f>
        <v>0</v>
      </c>
      <c r="I53" s="478">
        <f ca="1">OFFSET(TblConstr[[#This Row],[Mountain]],-1,0)+TblConstr[[#This Row],[Ch_Mountain]]</f>
        <v>0</v>
      </c>
      <c r="J53" s="482">
        <f ca="1">OFFSET(TblConstr[[#This Row],[Hill]],-1,0)+TblConstr[[#This Row],[Ch_Hill]]</f>
        <v>0</v>
      </c>
      <c r="K53" s="486">
        <f ca="1">OFFSET(TblConstr[[#This Row],[Swamp]],-1,0)+TblConstr[[#This Row],[Ch_Swamp]]</f>
        <v>0</v>
      </c>
      <c r="L53" s="239">
        <f ca="1">OFFSET(TblConstr[[#This Row],[Cavern]],-1,0)+TblConstr[[#This Row],[Ch_Cavern]]</f>
        <v>0</v>
      </c>
      <c r="M53" s="240">
        <f ca="1">OFFSET(TblConstr[[#This Row],[Water]],-1,0)+TblConstr[[#This Row],[Ch_Water]]</f>
        <v>0</v>
      </c>
      <c r="N53" s="476">
        <f>TblRezone[[#This Row],[Hour]]</f>
        <v>50</v>
      </c>
      <c r="O53" s="232">
        <v>8</v>
      </c>
      <c r="P53" s="232"/>
      <c r="Q53" s="232"/>
      <c r="R53" s="232"/>
      <c r="S53" s="232"/>
      <c r="T53" s="232"/>
      <c r="U53" s="232"/>
      <c r="V53" s="232"/>
      <c r="W53" s="232"/>
      <c r="X53" s="232"/>
      <c r="Y53" s="232"/>
      <c r="Z53" s="232"/>
      <c r="AA53" s="232"/>
      <c r="AB53" s="232"/>
      <c r="AC53" s="232"/>
      <c r="AD53" s="232"/>
      <c r="AE53" s="232"/>
      <c r="AF53" s="232"/>
      <c r="AG53" s="232"/>
      <c r="AH53" s="233">
        <f ca="1">TblImps[[#This Row],[Time]]</f>
        <v>44406.791666666548</v>
      </c>
      <c r="AI53" s="234">
        <f ca="1">MIN(25%,(TblConstr[[#This Row],[Tot Fac]]+TblConstr[[#This Row],[Dest Fac]])/(TblConstr[[#This Row],[Land]]-TblExplore[[#This Row],[Land Bonus]]*20))</f>
        <v>7.5885328836424959E-2</v>
      </c>
      <c r="AJ53" s="234">
        <f ca="1">MIN(25%,(TblConstr[[#This Row],[Tot Fac]]+TblConstr[[#This Row],[Dest Fac]])/TblConstr[[#This Row],[Land]])</f>
        <v>7.5885328836424959E-2</v>
      </c>
      <c r="AK53" s="113">
        <f ca="1">TblProd[[#This Row],[Platinum]]</f>
        <v>218669</v>
      </c>
      <c r="AL53" s="113">
        <f ca="1">TblProd[[#This Row],[Lumber]]</f>
        <v>18040</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799</v>
      </c>
      <c r="AN53" s="113">
        <f ca="1">ROUNDDOWN( MAX(1 - MIN(facs_constr_factor*TblConstr[[#This Row],[Facs -DB]],facs_constr_max) + tech_1_11*TblTech[[#This Row],[11-1]] + tech_6_3_2*TblTech[[#This Row],[6-3]] + tech_5_2_3*TblTech[[#This Row],[5-2]], 1-global_constr_cap) * TblConstr[[#This Row],[RCPA Lumber]],0)</f>
        <v>108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799</v>
      </c>
      <c r="AP53" s="113">
        <f ca="1">ROUNDDOWN( MAX(1 - MIN(facs_constr_factor*TblConstr[[#This Row],[Facs DB]],facs_constr_max) + tech_1_11*TblTech[[#This Row],[1-11]] + tech_6_3_2*TblTech[[#This Row],[6-3]] + tech_5_2_3*TblTech[[#This Row],[5-2]], 1-global_constr_cap) * TblConstr[[#This Row],[RCPA Lumber]],0)</f>
        <v>108</v>
      </c>
      <c r="AQ53" s="49">
        <f ca="1">TblConstr[[#This Row],[build -db]]*TblConstr[[#This Row],[CPA Platinum -DB]] + TblConstr[[#This Row],[build db]]*TblConstr[[#This Row],[CPA Platinum DB]]</f>
        <v>6392</v>
      </c>
      <c r="AR53" s="49">
        <f ca="1">TblConstr[[#This Row],[build -db]]*TblConstr[[#This Row],[CPA Lumber -DB]]+TblConstr[[#This Row],[build db]]*TblConstr[[#This Row],[CPA Lumber DB]]</f>
        <v>864</v>
      </c>
      <c r="AS53" s="113">
        <f ca="1">MIN(SUM(OFFSET(TblConstr[[#This Row],[Plain]:[Water]],-1,0))+SUM(TblConstr[[#This Row],[Dest Hom]:[Dest Doc]])+IF(TblConstr[[#This Row],[Hour]]&gt;12,SUM(OFFSET(TblExplore[[#This Row],[Plains Explore]:[Water Explore]],-12,0)),0),SUM(TblConstr[[#This Row],[Hom]:[Doc]]))</f>
        <v>8</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1148</v>
      </c>
      <c r="AW53" s="113">
        <f ca="1">ROUND((MAX(TblConstr[[#This Row],[Buildings]],250,0.75*TblConstr[[#This Row],[Land]])-250) * 0.35+87.5,0)</f>
        <v>156</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244</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30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45</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15</v>
      </c>
      <c r="BM53" s="488" cm="1">
        <f t="array" aca="1" ref="BM53" ca="1">IF(TblConstr[[#This Row],[Hour]:[Hour]]&gt;12,OFFSET(TblConstr[[#This Row],[Tem]],-12,0),0)+OFFSET(TblConstr[[#This Row],[Tot Tem]],-1,0)-TblConstr[[#This Row],[Dest Tem]]</f>
        <v>20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20</v>
      </c>
      <c r="BR53" s="184"/>
      <c r="BS53" s="200"/>
      <c r="BT53" s="113">
        <f ca="1">TblConstr[[#This Row],[Land]]</f>
        <v>593</v>
      </c>
      <c r="BU53" s="205">
        <f ca="1">TblImps[[#This Row],[Time]]</f>
        <v>44406.791666666548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-8</v>
      </c>
      <c r="CY53" s="184"/>
      <c r="CZ53" s="113">
        <f t="shared" ca="1" si="12"/>
        <v>402</v>
      </c>
      <c r="DA53" s="113">
        <f t="shared" ca="1" si="13"/>
        <v>20</v>
      </c>
      <c r="DB53" s="49">
        <f t="shared" ca="1" si="14"/>
        <v>30</v>
      </c>
      <c r="DC53" s="113">
        <f t="shared" ca="1" si="15"/>
        <v>45</v>
      </c>
      <c r="DD53" s="113">
        <f t="shared" ca="1" si="16"/>
        <v>35</v>
      </c>
      <c r="DE53" s="49">
        <f t="shared" ca="1" si="17"/>
        <v>0</v>
      </c>
      <c r="DF53" s="113">
        <f t="shared" ca="1" si="18"/>
        <v>20</v>
      </c>
      <c r="DG53" s="113" cm="1">
        <f t="array" aca="1" ref="DG53" ca="1">INDEX(TblConstr[[Total Plain]:[Total Water]],ROW()-ROW(TblConstr[#Headers]),MATCH("Total "&amp;home_land,TblConstr[[#Headers],[Total Plain]:[Total Water]],0))+TblConstr[[#This Row],[Homes]]</f>
        <v>443</v>
      </c>
      <c r="DH53" s="49">
        <f t="shared" ca="1" si="10"/>
        <v>41</v>
      </c>
      <c r="DI53" s="49">
        <f t="shared" ca="1" si="0"/>
        <v>0</v>
      </c>
      <c r="DJ53" s="49">
        <f t="shared" ca="1" si="1"/>
        <v>0</v>
      </c>
    </row>
    <row r="54" spans="1:114" x14ac:dyDescent="0.2">
      <c r="A54" s="228">
        <f>TblRezone[[#This Row],[Hour]]</f>
        <v>51</v>
      </c>
      <c r="B54" s="229">
        <f ca="1">SUM(TblConstr[[#This Row],[Plain]:[Water]])</f>
        <v>0</v>
      </c>
      <c r="C54" s="230">
        <f ca="1">SUM(TblConstr[[#This Row],[Tot Hom]:[Tot Doc]])</f>
        <v>434</v>
      </c>
      <c r="D54" s="230">
        <f t="shared" si="11"/>
        <v>166</v>
      </c>
      <c r="E54" s="231"/>
      <c r="F54" s="74">
        <f ca="1">TblConstr[[#This Row],[Barren]]+TblConstr[[#This Row],[Buildings]]+TblConstr[[#This Row],[Incoming]]</f>
        <v>600</v>
      </c>
      <c r="G54" s="242">
        <f ca="1">OFFSET(TblConstr[[#This Row],[Plain]],-1,0)+TblConstr[[#This Row],[Ch_Plain]]</f>
        <v>0</v>
      </c>
      <c r="H54" s="236">
        <f ca="1">OFFSET(TblConstr[[#This Row],[Forest]],-1,0)+TblConstr[[#This Row],[Ch_Forest]]</f>
        <v>0</v>
      </c>
      <c r="I54" s="478">
        <f ca="1">OFFSET(TblConstr[[#This Row],[Mountain]],-1,0)+TblConstr[[#This Row],[Ch_Mountain]]</f>
        <v>0</v>
      </c>
      <c r="J54" s="482">
        <f ca="1">OFFSET(TblConstr[[#This Row],[Hill]],-1,0)+TblConstr[[#This Row],[Ch_Hill]]</f>
        <v>0</v>
      </c>
      <c r="K54" s="486">
        <f ca="1">OFFSET(TblConstr[[#This Row],[Swamp]],-1,0)+TblConstr[[#This Row],[Ch_Swamp]]</f>
        <v>0</v>
      </c>
      <c r="L54" s="239">
        <f ca="1">OFFSET(TblConstr[[#This Row],[Cavern]],-1,0)+TblConstr[[#This Row],[Ch_Cavern]]</f>
        <v>0</v>
      </c>
      <c r="M54" s="240">
        <f ca="1">OFFSET(TblConstr[[#This Row],[Water]],-1,0)+TblConstr[[#This Row],[Ch_Water]]</f>
        <v>0</v>
      </c>
      <c r="N54" s="476">
        <f>TblRezone[[#This Row],[Hour]]</f>
        <v>51</v>
      </c>
      <c r="O54" s="232">
        <v>7</v>
      </c>
      <c r="P54" s="232"/>
      <c r="Q54" s="232"/>
      <c r="R54" s="232"/>
      <c r="S54" s="232"/>
      <c r="T54" s="232"/>
      <c r="U54" s="232"/>
      <c r="V54" s="232"/>
      <c r="W54" s="232"/>
      <c r="X54" s="232"/>
      <c r="Y54" s="232"/>
      <c r="Z54" s="232"/>
      <c r="AA54" s="232"/>
      <c r="AB54" s="232"/>
      <c r="AC54" s="232"/>
      <c r="AD54" s="232"/>
      <c r="AE54" s="232"/>
      <c r="AF54" s="232"/>
      <c r="AG54" s="232"/>
      <c r="AH54" s="233">
        <f ca="1">TblImps[[#This Row],[Time]]</f>
        <v>44406.833333333212</v>
      </c>
      <c r="AI54" s="234">
        <f ca="1">MIN(25%,(TblConstr[[#This Row],[Tot Fac]]+TblConstr[[#This Row],[Dest Fac]])/(TblConstr[[#This Row],[Land]]-TblExplore[[#This Row],[Land Bonus]]*20))</f>
        <v>7.4999999999999997E-2</v>
      </c>
      <c r="AJ54" s="234">
        <f ca="1">MIN(25%,(TblConstr[[#This Row],[Tot Fac]]+TblConstr[[#This Row],[Dest Fac]])/TblConstr[[#This Row],[Land]])</f>
        <v>7.4999999999999997E-2</v>
      </c>
      <c r="AK54" s="113">
        <f ca="1">TblProd[[#This Row],[Platinum]]</f>
        <v>248345</v>
      </c>
      <c r="AL54" s="113">
        <f ca="1">TblProd[[#This Row],[Lumber]]</f>
        <v>18090</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809</v>
      </c>
      <c r="AN54" s="113">
        <f ca="1">ROUNDDOWN( MAX(1 - MIN(facs_constr_factor*TblConstr[[#This Row],[Facs -DB]],facs_constr_max) + tech_1_11*TblTech[[#This Row],[11-1]] + tech_6_3_2*TblTech[[#This Row],[6-3]] + tech_5_2_3*TblTech[[#This Row],[5-2]], 1-global_constr_cap) * TblConstr[[#This Row],[RCPA Lumber]],0)</f>
        <v>110</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809</v>
      </c>
      <c r="AP54" s="113">
        <f ca="1">ROUNDDOWN( MAX(1 - MIN(facs_constr_factor*TblConstr[[#This Row],[Facs DB]],facs_constr_max) + tech_1_11*TblTech[[#This Row],[1-11]] + tech_6_3_2*TblTech[[#This Row],[6-3]] + tech_5_2_3*TblTech[[#This Row],[5-2]], 1-global_constr_cap) * TblConstr[[#This Row],[RCPA Lumber]],0)</f>
        <v>110</v>
      </c>
      <c r="AQ54" s="49">
        <f ca="1">TblConstr[[#This Row],[build -db]]*TblConstr[[#This Row],[CPA Platinum -DB]] + TblConstr[[#This Row],[build db]]*TblConstr[[#This Row],[CPA Platinum DB]]</f>
        <v>5663</v>
      </c>
      <c r="AR54" s="49">
        <f ca="1">TblConstr[[#This Row],[build -db]]*TblConstr[[#This Row],[CPA Lumber -DB]]+TblConstr[[#This Row],[build db]]*TblConstr[[#This Row],[CPA Lumber DB]]</f>
        <v>770</v>
      </c>
      <c r="AS54" s="113">
        <f ca="1">MIN(SUM(OFFSET(TblConstr[[#This Row],[Plain]:[Water]],-1,0))+SUM(TblConstr[[#This Row],[Dest Hom]:[Dest Doc]])+IF(TblConstr[[#This Row],[Hour]]&gt;12,SUM(OFFSET(TblExplore[[#This Row],[Plains Explore]:[Water Explore]],-12,0)),0),SUM(TblConstr[[#This Row],[Hom]:[Doc]]))</f>
        <v>7</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1156</v>
      </c>
      <c r="AW54" s="113">
        <f ca="1">ROUND((MAX(TblConstr[[#This Row],[Buildings]],250,0.75*TblConstr[[#This Row],[Land]])-250) * 0.35+87.5,0)</f>
        <v>158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244</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30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45</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15</v>
      </c>
      <c r="BM54" s="488" cm="1">
        <f t="array" aca="1" ref="BM54" ca="1">IF(TblConstr[[#This Row],[Hour]:[Hour]]&gt;12,OFFSET(TblConstr[[#This Row],[Tem]],-12,0),0)+OFFSET(TblConstr[[#This Row],[Tot Tem]],-1,0)-TblConstr[[#This Row],[Dest Tem]]</f>
        <v>20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20</v>
      </c>
      <c r="BR54" s="184"/>
      <c r="BS54" s="200"/>
      <c r="BT54" s="113">
        <f ca="1">TblConstr[[#This Row],[Land]]</f>
        <v>600</v>
      </c>
      <c r="BU54" s="205">
        <f ca="1">TblImps[[#This Row],[Time]]</f>
        <v>44406.833333333212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-7</v>
      </c>
      <c r="CY54" s="184"/>
      <c r="CZ54" s="113">
        <f t="shared" ca="1" si="12"/>
        <v>402</v>
      </c>
      <c r="DA54" s="113">
        <f t="shared" ca="1" si="13"/>
        <v>20</v>
      </c>
      <c r="DB54" s="49">
        <f t="shared" ca="1" si="14"/>
        <v>30</v>
      </c>
      <c r="DC54" s="113">
        <f t="shared" ca="1" si="15"/>
        <v>45</v>
      </c>
      <c r="DD54" s="113">
        <f t="shared" ca="1" si="16"/>
        <v>35</v>
      </c>
      <c r="DE54" s="49">
        <f t="shared" ca="1" si="17"/>
        <v>0</v>
      </c>
      <c r="DF54" s="113">
        <f t="shared" ca="1" si="18"/>
        <v>20</v>
      </c>
      <c r="DG54" s="113" cm="1">
        <f t="array" aca="1" ref="DG54" ca="1">INDEX(TblConstr[[Total Plain]:[Total Water]],ROW()-ROW(TblConstr[#Headers]),MATCH("Total "&amp;home_land,TblConstr[[#Headers],[Total Plain]:[Total Water]],0))+TblConstr[[#This Row],[Homes]]</f>
        <v>450</v>
      </c>
      <c r="DH54" s="49">
        <f t="shared" ca="1" si="10"/>
        <v>48</v>
      </c>
      <c r="DI54" s="49">
        <f t="shared" ca="1" si="0"/>
        <v>0</v>
      </c>
      <c r="DJ54" s="49">
        <f t="shared" ca="1" si="1"/>
        <v>0</v>
      </c>
    </row>
    <row r="55" spans="1:114" x14ac:dyDescent="0.2">
      <c r="A55" s="228">
        <f>TblRezone[[#This Row],[Hour]]</f>
        <v>52</v>
      </c>
      <c r="B55" s="229">
        <f ca="1">SUM(TblConstr[[#This Row],[Plain]:[Water]])</f>
        <v>0</v>
      </c>
      <c r="C55" s="230">
        <f ca="1">SUM(TblConstr[[#This Row],[Tot Hom]:[Tot Doc]])</f>
        <v>454</v>
      </c>
      <c r="D55" s="230">
        <f t="shared" si="11"/>
        <v>146</v>
      </c>
      <c r="E55" s="231"/>
      <c r="F55" s="74">
        <f ca="1">TblConstr[[#This Row],[Barren]]+TblConstr[[#This Row],[Buildings]]+TblConstr[[#This Row],[Incoming]]</f>
        <v>600</v>
      </c>
      <c r="G55" s="242">
        <f ca="1">OFFSET(TblConstr[[#This Row],[Plain]],-1,0)+TblConstr[[#This Row],[Ch_Plain]]</f>
        <v>0</v>
      </c>
      <c r="H55" s="236">
        <f ca="1">OFFSET(TblConstr[[#This Row],[Forest]],-1,0)+TblConstr[[#This Row],[Ch_Forest]]</f>
        <v>0</v>
      </c>
      <c r="I55" s="478">
        <f ca="1">OFFSET(TblConstr[[#This Row],[Mountain]],-1,0)+TblConstr[[#This Row],[Ch_Mountain]]</f>
        <v>0</v>
      </c>
      <c r="J55" s="482">
        <f ca="1">OFFSET(TblConstr[[#This Row],[Hill]],-1,0)+TblConstr[[#This Row],[Ch_Hill]]</f>
        <v>0</v>
      </c>
      <c r="K55" s="486">
        <f ca="1">OFFSET(TblConstr[[#This Row],[Swamp]],-1,0)+TblConstr[[#This Row],[Ch_Swamp]]</f>
        <v>0</v>
      </c>
      <c r="L55" s="239">
        <f ca="1">OFFSET(TblConstr[[#This Row],[Cavern]],-1,0)+TblConstr[[#This Row],[Ch_Cavern]]</f>
        <v>0</v>
      </c>
      <c r="M55" s="240">
        <f ca="1">OFFSET(TblConstr[[#This Row],[Water]],-1,0)+TblConstr[[#This Row],[Ch_Water]]</f>
        <v>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44406.874999999876</v>
      </c>
      <c r="AI55" s="234">
        <f ca="1">MIN(25%,(TblConstr[[#This Row],[Tot Fac]]+TblConstr[[#This Row],[Dest Fac]])/(TblConstr[[#This Row],[Land]]-TblExplore[[#This Row],[Land Bonus]]*20))</f>
        <v>7.4999999999999997E-2</v>
      </c>
      <c r="AJ55" s="234">
        <f ca="1">MIN(25%,(TblConstr[[#This Row],[Tot Fac]]+TblConstr[[#This Row],[Dest Fac]])/TblConstr[[#This Row],[Land]])</f>
        <v>7.4999999999999997E-2</v>
      </c>
      <c r="AK55" s="113">
        <f ca="1">TblProd[[#This Row],[Platinum]]</f>
        <v>285615</v>
      </c>
      <c r="AL55" s="113">
        <f ca="1">TblProd[[#This Row],[Lumber]]</f>
        <v>18909</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5" s="113">
        <f ca="1">ROUNDDOWN( MAX(1 - MIN(facs_constr_factor*TblConstr[[#This Row],[Facs -DB]],facs_constr_max) + tech_1_11*TblTech[[#This Row],[11-1]] + tech_6_3_2*TblTech[[#This Row],[6-3]] + tech_5_2_3*TblTech[[#This Row],[5-2]], 1-global_constr_cap) * TblConstr[[#This Row],[RCPA Lumber]],0)</f>
        <v>111</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5" s="113">
        <f ca="1">ROUNDDOWN( MAX(1 - MIN(facs_constr_factor*TblConstr[[#This Row],[Facs DB]],facs_constr_max) + tech_1_11*TblTech[[#This Row],[1-11]] + tech_6_3_2*TblTech[[#This Row],[6-3]] + tech_5_2_3*TblTech[[#This Row],[5-2]], 1-global_constr_cap) * TblConstr[[#This Row],[RCPA Lumber]],0)</f>
        <v>111</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1162</v>
      </c>
      <c r="AW55" s="113">
        <f ca="1">ROUND((MAX(TblConstr[[#This Row],[Buildings]],250,0.75*TblConstr[[#This Row],[Land]])-250) * 0.35+87.5,0)</f>
        <v>159</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264</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30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45</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15</v>
      </c>
      <c r="BM55" s="488" cm="1">
        <f t="array" aca="1" ref="BM55" ca="1">IF(TblConstr[[#This Row],[Hour]:[Hour]]&gt;12,OFFSET(TblConstr[[#This Row],[Tem]],-12,0),0)+OFFSET(TblConstr[[#This Row],[Tot Tem]],-1,0)-TblConstr[[#This Row],[Dest Tem]]</f>
        <v>20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20</v>
      </c>
      <c r="BR55" s="184"/>
      <c r="BS55" s="200"/>
      <c r="BT55" s="113">
        <f ca="1">TblConstr[[#This Row],[Land]]</f>
        <v>600</v>
      </c>
      <c r="BU55" s="205">
        <f ca="1">TblImps[[#This Row],[Time]]</f>
        <v>44406.874999999876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402</v>
      </c>
      <c r="DA55" s="113">
        <f t="shared" ca="1" si="13"/>
        <v>20</v>
      </c>
      <c r="DB55" s="49">
        <f t="shared" ca="1" si="14"/>
        <v>30</v>
      </c>
      <c r="DC55" s="113">
        <f t="shared" ca="1" si="15"/>
        <v>45</v>
      </c>
      <c r="DD55" s="113">
        <f t="shared" ca="1" si="16"/>
        <v>35</v>
      </c>
      <c r="DE55" s="49">
        <f t="shared" ca="1" si="17"/>
        <v>0</v>
      </c>
      <c r="DF55" s="113">
        <f t="shared" ca="1" si="18"/>
        <v>20</v>
      </c>
      <c r="DG55" s="113" cm="1">
        <f t="array" aca="1" ref="DG55" ca="1">INDEX(TblConstr[[Total Plain]:[Total Water]],ROW()-ROW(TblConstr[#Headers]),MATCH("Total "&amp;home_land,TblConstr[[#Headers],[Total Plain]:[Total Water]],0))+TblConstr[[#This Row],[Homes]]</f>
        <v>450</v>
      </c>
      <c r="DH55" s="49">
        <f t="shared" ca="1" si="10"/>
        <v>48</v>
      </c>
      <c r="DI55" s="49">
        <f t="shared" ca="1" si="0"/>
        <v>0</v>
      </c>
      <c r="DJ55" s="49">
        <f t="shared" ca="1" si="1"/>
        <v>0</v>
      </c>
    </row>
    <row r="56" spans="1:114" x14ac:dyDescent="0.2">
      <c r="A56" s="228">
        <f>TblRezone[[#This Row],[Hour]]</f>
        <v>53</v>
      </c>
      <c r="B56" s="229">
        <f ca="1">SUM(TblConstr[[#This Row],[Plain]:[Water]])</f>
        <v>0</v>
      </c>
      <c r="C56" s="230">
        <f ca="1">SUM(TblConstr[[#This Row],[Tot Hom]:[Tot Doc]])</f>
        <v>454</v>
      </c>
      <c r="D56" s="230">
        <f t="shared" si="11"/>
        <v>146</v>
      </c>
      <c r="E56" s="231"/>
      <c r="F56" s="74">
        <f ca="1">TblConstr[[#This Row],[Barren]]+TblConstr[[#This Row],[Buildings]]+TblConstr[[#This Row],[Incoming]]</f>
        <v>600</v>
      </c>
      <c r="G56" s="242">
        <f ca="1">OFFSET(TblConstr[[#This Row],[Plain]],-1,0)+TblConstr[[#This Row],[Ch_Plain]]</f>
        <v>0</v>
      </c>
      <c r="H56" s="236">
        <f ca="1">OFFSET(TblConstr[[#This Row],[Forest]],-1,0)+TblConstr[[#This Row],[Ch_Forest]]</f>
        <v>0</v>
      </c>
      <c r="I56" s="478">
        <f ca="1">OFFSET(TblConstr[[#This Row],[Mountain]],-1,0)+TblConstr[[#This Row],[Ch_Mountain]]</f>
        <v>0</v>
      </c>
      <c r="J56" s="482">
        <f ca="1">OFFSET(TblConstr[[#This Row],[Hill]],-1,0)+TblConstr[[#This Row],[Ch_Hill]]</f>
        <v>0</v>
      </c>
      <c r="K56" s="486">
        <f ca="1">OFFSET(TblConstr[[#This Row],[Swamp]],-1,0)+TblConstr[[#This Row],[Ch_Swamp]]</f>
        <v>0</v>
      </c>
      <c r="L56" s="239">
        <f ca="1">OFFSET(TblConstr[[#This Row],[Cavern]],-1,0)+TblConstr[[#This Row],[Ch_Cavern]]</f>
        <v>0</v>
      </c>
      <c r="M56" s="240">
        <f ca="1">OFFSET(TblConstr[[#This Row],[Water]],-1,0)+TblConstr[[#This Row],[Ch_Water]]</f>
        <v>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44406.916666666541</v>
      </c>
      <c r="AI56" s="234">
        <f ca="1">MIN(25%,(TblConstr[[#This Row],[Tot Fac]]+TblConstr[[#This Row],[Dest Fac]])/(TblConstr[[#This Row],[Land]]-TblExplore[[#This Row],[Land Bonus]]*20))</f>
        <v>7.4999999999999997E-2</v>
      </c>
      <c r="AJ56" s="234">
        <f ca="1">MIN(25%,(TblConstr[[#This Row],[Tot Fac]]+TblConstr[[#This Row],[Dest Fac]])/TblConstr[[#This Row],[Land]])</f>
        <v>7.4999999999999997E-2</v>
      </c>
      <c r="AK56" s="113">
        <f ca="1">TblProd[[#This Row],[Platinum]]</f>
        <v>323853</v>
      </c>
      <c r="AL56" s="113">
        <f ca="1">TblProd[[#This Row],[Lumber]]</f>
        <v>19720</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6" s="113">
        <f ca="1">ROUNDDOWN( MAX(1 - MIN(facs_constr_factor*TblConstr[[#This Row],[Facs -DB]],facs_constr_max) + tech_1_11*TblTech[[#This Row],[11-1]] + tech_6_3_2*TblTech[[#This Row],[6-3]] + tech_5_2_3*TblTech[[#This Row],[5-2]], 1-global_constr_cap) * TblConstr[[#This Row],[RCPA Lumber]],0)</f>
        <v>111</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6" s="113">
        <f ca="1">ROUNDDOWN( MAX(1 - MIN(facs_constr_factor*TblConstr[[#This Row],[Facs DB]],facs_constr_max) + tech_1_11*TblTech[[#This Row],[1-11]] + tech_6_3_2*TblTech[[#This Row],[6-3]] + tech_5_2_3*TblTech[[#This Row],[5-2]], 1-global_constr_cap) * TblConstr[[#This Row],[RCPA Lumber]],0)</f>
        <v>111</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1162</v>
      </c>
      <c r="AW56" s="113">
        <f ca="1">ROUND((MAX(TblConstr[[#This Row],[Buildings]],250,0.75*TblConstr[[#This Row],[Land]])-250) * 0.35+87.5,0)</f>
        <v>159</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264</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30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45</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15</v>
      </c>
      <c r="BM56" s="488" cm="1">
        <f t="array" aca="1" ref="BM56" ca="1">IF(TblConstr[[#This Row],[Hour]:[Hour]]&gt;12,OFFSET(TblConstr[[#This Row],[Tem]],-12,0),0)+OFFSET(TblConstr[[#This Row],[Tot Tem]],-1,0)-TblConstr[[#This Row],[Dest Tem]]</f>
        <v>20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20</v>
      </c>
      <c r="BR56" s="184"/>
      <c r="BS56" s="200"/>
      <c r="BT56" s="113">
        <f ca="1">TblConstr[[#This Row],[Land]]</f>
        <v>600</v>
      </c>
      <c r="BU56" s="205">
        <f ca="1">TblImps[[#This Row],[Time]]</f>
        <v>44406.916666666541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402</v>
      </c>
      <c r="DA56" s="113">
        <f t="shared" ca="1" si="13"/>
        <v>20</v>
      </c>
      <c r="DB56" s="49">
        <f t="shared" ca="1" si="14"/>
        <v>30</v>
      </c>
      <c r="DC56" s="113">
        <f t="shared" ca="1" si="15"/>
        <v>45</v>
      </c>
      <c r="DD56" s="113">
        <f t="shared" ca="1" si="16"/>
        <v>35</v>
      </c>
      <c r="DE56" s="49">
        <f t="shared" ca="1" si="17"/>
        <v>0</v>
      </c>
      <c r="DF56" s="113">
        <f t="shared" ca="1" si="18"/>
        <v>20</v>
      </c>
      <c r="DG56" s="113" cm="1">
        <f t="array" aca="1" ref="DG56" ca="1">INDEX(TblConstr[[Total Plain]:[Total Water]],ROW()-ROW(TblConstr[#Headers]),MATCH("Total "&amp;home_land,TblConstr[[#Headers],[Total Plain]:[Total Water]],0))+TblConstr[[#This Row],[Homes]]</f>
        <v>450</v>
      </c>
      <c r="DH56" s="49">
        <f t="shared" ca="1" si="10"/>
        <v>48</v>
      </c>
      <c r="DI56" s="49">
        <f t="shared" ca="1" si="0"/>
        <v>0</v>
      </c>
      <c r="DJ56" s="49">
        <f t="shared" ca="1" si="1"/>
        <v>0</v>
      </c>
    </row>
    <row r="57" spans="1:114" x14ac:dyDescent="0.2">
      <c r="A57" s="228">
        <f>TblRezone[[#This Row],[Hour]]</f>
        <v>54</v>
      </c>
      <c r="B57" s="229">
        <f ca="1">SUM(TblConstr[[#This Row],[Plain]:[Water]])</f>
        <v>0</v>
      </c>
      <c r="C57" s="230">
        <f ca="1">SUM(TblConstr[[#This Row],[Tot Hom]:[Tot Doc]])</f>
        <v>454</v>
      </c>
      <c r="D57" s="230">
        <f t="shared" si="11"/>
        <v>146</v>
      </c>
      <c r="E57" s="231"/>
      <c r="F57" s="74">
        <f ca="1">TblConstr[[#This Row],[Barren]]+TblConstr[[#This Row],[Buildings]]+TblConstr[[#This Row],[Incoming]]</f>
        <v>600</v>
      </c>
      <c r="G57" s="242">
        <f ca="1">OFFSET(TblConstr[[#This Row],[Plain]],-1,0)+TblConstr[[#This Row],[Ch_Plain]]</f>
        <v>0</v>
      </c>
      <c r="H57" s="236">
        <f ca="1">OFFSET(TblConstr[[#This Row],[Forest]],-1,0)+TblConstr[[#This Row],[Ch_Forest]]</f>
        <v>0</v>
      </c>
      <c r="I57" s="478">
        <f ca="1">OFFSET(TblConstr[[#This Row],[Mountain]],-1,0)+TblConstr[[#This Row],[Ch_Mountain]]</f>
        <v>0</v>
      </c>
      <c r="J57" s="482">
        <f ca="1">OFFSET(TblConstr[[#This Row],[Hill]],-1,0)+TblConstr[[#This Row],[Ch_Hill]]</f>
        <v>0</v>
      </c>
      <c r="K57" s="486">
        <f ca="1">OFFSET(TblConstr[[#This Row],[Swamp]],-1,0)+TblConstr[[#This Row],[Ch_Swamp]]</f>
        <v>0</v>
      </c>
      <c r="L57" s="239">
        <f ca="1">OFFSET(TblConstr[[#This Row],[Cavern]],-1,0)+TblConstr[[#This Row],[Ch_Cavern]]</f>
        <v>0</v>
      </c>
      <c r="M57" s="240">
        <f ca="1">OFFSET(TblConstr[[#This Row],[Water]],-1,0)+TblConstr[[#This Row],[Ch_Water]]</f>
        <v>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44406.958333333205</v>
      </c>
      <c r="AI57" s="234">
        <f ca="1">MIN(25%,(TblConstr[[#This Row],[Tot Fac]]+TblConstr[[#This Row],[Dest Fac]])/(TblConstr[[#This Row],[Land]]-TblExplore[[#This Row],[Land Bonus]]*20))</f>
        <v>7.4999999999999997E-2</v>
      </c>
      <c r="AJ57" s="234">
        <f ca="1">MIN(25%,(TblConstr[[#This Row],[Tot Fac]]+TblConstr[[#This Row],[Dest Fac]])/TblConstr[[#This Row],[Land]])</f>
        <v>7.4999999999999997E-2</v>
      </c>
      <c r="AK57" s="113">
        <f ca="1">TblProd[[#This Row],[Platinum]]</f>
        <v>361839</v>
      </c>
      <c r="AL57" s="113">
        <f ca="1">TblProd[[#This Row],[Lumber]]</f>
        <v>20523</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7" s="113">
        <f ca="1">ROUNDDOWN( MAX(1 - MIN(facs_constr_factor*TblConstr[[#This Row],[Facs -DB]],facs_constr_max) + tech_1_11*TblTech[[#This Row],[11-1]] + tech_6_3_2*TblTech[[#This Row],[6-3]] + tech_5_2_3*TblTech[[#This Row],[5-2]], 1-global_constr_cap) * TblConstr[[#This Row],[RCPA Lumber]],0)</f>
        <v>111</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7" s="113">
        <f ca="1">ROUNDDOWN( MAX(1 - MIN(facs_constr_factor*TblConstr[[#This Row],[Facs DB]],facs_constr_max) + tech_1_11*TblTech[[#This Row],[1-11]] + tech_6_3_2*TblTech[[#This Row],[6-3]] + tech_5_2_3*TblTech[[#This Row],[5-2]], 1-global_constr_cap) * TblConstr[[#This Row],[RCPA Lumber]],0)</f>
        <v>111</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1162</v>
      </c>
      <c r="AW57" s="113">
        <f ca="1">ROUND((MAX(TblConstr[[#This Row],[Buildings]],250,0.75*TblConstr[[#This Row],[Land]])-250) * 0.35+87.5,0)</f>
        <v>159</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264</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30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45</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15</v>
      </c>
      <c r="BM57" s="488" cm="1">
        <f t="array" aca="1" ref="BM57" ca="1">IF(TblConstr[[#This Row],[Hour]:[Hour]]&gt;12,OFFSET(TblConstr[[#This Row],[Tem]],-12,0),0)+OFFSET(TblConstr[[#This Row],[Tot Tem]],-1,0)-TblConstr[[#This Row],[Dest Tem]]</f>
        <v>20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20</v>
      </c>
      <c r="BR57" s="184"/>
      <c r="BS57" s="200"/>
      <c r="BT57" s="113">
        <f ca="1">TblConstr[[#This Row],[Land]]</f>
        <v>600</v>
      </c>
      <c r="BU57" s="205">
        <f ca="1">TblImps[[#This Row],[Time]]</f>
        <v>44406.958333333205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402</v>
      </c>
      <c r="DA57" s="113">
        <f t="shared" ca="1" si="13"/>
        <v>20</v>
      </c>
      <c r="DB57" s="49">
        <f t="shared" ca="1" si="14"/>
        <v>30</v>
      </c>
      <c r="DC57" s="113">
        <f t="shared" ca="1" si="15"/>
        <v>45</v>
      </c>
      <c r="DD57" s="113">
        <f t="shared" ca="1" si="16"/>
        <v>35</v>
      </c>
      <c r="DE57" s="49">
        <f t="shared" ca="1" si="17"/>
        <v>0</v>
      </c>
      <c r="DF57" s="113">
        <f t="shared" ca="1" si="18"/>
        <v>20</v>
      </c>
      <c r="DG57" s="113" cm="1">
        <f t="array" aca="1" ref="DG57" ca="1">INDEX(TblConstr[[Total Plain]:[Total Water]],ROW()-ROW(TblConstr[#Headers]),MATCH("Total "&amp;home_land,TblConstr[[#Headers],[Total Plain]:[Total Water]],0))+TblConstr[[#This Row],[Homes]]</f>
        <v>450</v>
      </c>
      <c r="DH57" s="49">
        <f t="shared" ca="1" si="10"/>
        <v>48</v>
      </c>
      <c r="DI57" s="49">
        <f t="shared" ca="1" si="0"/>
        <v>0</v>
      </c>
      <c r="DJ57" s="49">
        <f t="shared" ca="1" si="1"/>
        <v>0</v>
      </c>
    </row>
    <row r="58" spans="1:114" x14ac:dyDescent="0.2">
      <c r="A58" s="228">
        <f>TblRezone[[#This Row],[Hour]]</f>
        <v>55</v>
      </c>
      <c r="B58" s="229">
        <f ca="1">SUM(TblConstr[[#This Row],[Plain]:[Water]])</f>
        <v>0</v>
      </c>
      <c r="C58" s="230">
        <f ca="1">SUM(TblConstr[[#This Row],[Tot Hom]:[Tot Doc]])</f>
        <v>454</v>
      </c>
      <c r="D58" s="230">
        <f t="shared" si="11"/>
        <v>146</v>
      </c>
      <c r="E58" s="231"/>
      <c r="F58" s="74">
        <f ca="1">TblConstr[[#This Row],[Barren]]+TblConstr[[#This Row],[Buildings]]+TblConstr[[#This Row],[Incoming]]</f>
        <v>600</v>
      </c>
      <c r="G58" s="242">
        <f ca="1">OFFSET(TblConstr[[#This Row],[Plain]],-1,0)+TblConstr[[#This Row],[Ch_Plain]]</f>
        <v>0</v>
      </c>
      <c r="H58" s="236">
        <f ca="1">OFFSET(TblConstr[[#This Row],[Forest]],-1,0)+TblConstr[[#This Row],[Ch_Forest]]</f>
        <v>0</v>
      </c>
      <c r="I58" s="478">
        <f ca="1">OFFSET(TblConstr[[#This Row],[Mountain]],-1,0)+TblConstr[[#This Row],[Ch_Mountain]]</f>
        <v>0</v>
      </c>
      <c r="J58" s="482">
        <f ca="1">OFFSET(TblConstr[[#This Row],[Hill]],-1,0)+TblConstr[[#This Row],[Ch_Hill]]</f>
        <v>0</v>
      </c>
      <c r="K58" s="486">
        <f ca="1">OFFSET(TblConstr[[#This Row],[Swamp]],-1,0)+TblConstr[[#This Row],[Ch_Swamp]]</f>
        <v>0</v>
      </c>
      <c r="L58" s="239">
        <f ca="1">OFFSET(TblConstr[[#This Row],[Cavern]],-1,0)+TblConstr[[#This Row],[Ch_Cavern]]</f>
        <v>0</v>
      </c>
      <c r="M58" s="240">
        <f ca="1">OFFSET(TblConstr[[#This Row],[Water]],-1,0)+TblConstr[[#This Row],[Ch_Water]]</f>
        <v>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44406.999999999869</v>
      </c>
      <c r="AI58" s="234">
        <f ca="1">MIN(25%,(TblConstr[[#This Row],[Tot Fac]]+TblConstr[[#This Row],[Dest Fac]])/(TblConstr[[#This Row],[Land]]-TblExplore[[#This Row],[Land Bonus]]*20))</f>
        <v>7.4999999999999997E-2</v>
      </c>
      <c r="AJ58" s="234">
        <f ca="1">MIN(25%,(TblConstr[[#This Row],[Tot Fac]]+TblConstr[[#This Row],[Dest Fac]])/TblConstr[[#This Row],[Land]])</f>
        <v>7.4999999999999997E-2</v>
      </c>
      <c r="AK58" s="113">
        <f ca="1">TblProd[[#This Row],[Platinum]]</f>
        <v>399575</v>
      </c>
      <c r="AL58" s="113">
        <f ca="1">TblProd[[#This Row],[Lumber]]</f>
        <v>21318</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8" s="113">
        <f ca="1">ROUNDDOWN( MAX(1 - MIN(facs_constr_factor*TblConstr[[#This Row],[Facs -DB]],facs_constr_max) + tech_1_11*TblTech[[#This Row],[11-1]] + tech_6_3_2*TblTech[[#This Row],[6-3]] + tech_5_2_3*TblTech[[#This Row],[5-2]], 1-global_constr_cap) * TblConstr[[#This Row],[RCPA Lumber]],0)</f>
        <v>111</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8" s="113">
        <f ca="1">ROUNDDOWN( MAX(1 - MIN(facs_constr_factor*TblConstr[[#This Row],[Facs DB]],facs_constr_max) + tech_1_11*TblTech[[#This Row],[1-11]] + tech_6_3_2*TblTech[[#This Row],[6-3]] + tech_5_2_3*TblTech[[#This Row],[5-2]], 1-global_constr_cap) * TblConstr[[#This Row],[RCPA Lumber]],0)</f>
        <v>111</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1162</v>
      </c>
      <c r="AW58" s="113">
        <f ca="1">ROUND((MAX(TblConstr[[#This Row],[Buildings]],250,0.75*TblConstr[[#This Row],[Land]])-250) * 0.35+87.5,0)</f>
        <v>159</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264</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30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45</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15</v>
      </c>
      <c r="BM58" s="488" cm="1">
        <f t="array" aca="1" ref="BM58" ca="1">IF(TblConstr[[#This Row],[Hour]:[Hour]]&gt;12,OFFSET(TblConstr[[#This Row],[Tem]],-12,0),0)+OFFSET(TblConstr[[#This Row],[Tot Tem]],-1,0)-TblConstr[[#This Row],[Dest Tem]]</f>
        <v>20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20</v>
      </c>
      <c r="BR58" s="184"/>
      <c r="BS58" s="200"/>
      <c r="BT58" s="113">
        <f ca="1">TblConstr[[#This Row],[Land]]</f>
        <v>600</v>
      </c>
      <c r="BU58" s="205">
        <f ca="1">TblImps[[#This Row],[Time]]</f>
        <v>44406.999999999869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402</v>
      </c>
      <c r="DA58" s="113">
        <f t="shared" ca="1" si="13"/>
        <v>20</v>
      </c>
      <c r="DB58" s="49">
        <f t="shared" ca="1" si="14"/>
        <v>30</v>
      </c>
      <c r="DC58" s="113">
        <f t="shared" ca="1" si="15"/>
        <v>45</v>
      </c>
      <c r="DD58" s="113">
        <f t="shared" ca="1" si="16"/>
        <v>35</v>
      </c>
      <c r="DE58" s="49">
        <f t="shared" ca="1" si="17"/>
        <v>0</v>
      </c>
      <c r="DF58" s="113">
        <f t="shared" ca="1" si="18"/>
        <v>20</v>
      </c>
      <c r="DG58" s="113" cm="1">
        <f t="array" aca="1" ref="DG58" ca="1">INDEX(TblConstr[[Total Plain]:[Total Water]],ROW()-ROW(TblConstr[#Headers]),MATCH("Total "&amp;home_land,TblConstr[[#Headers],[Total Plain]:[Total Water]],0))+TblConstr[[#This Row],[Homes]]</f>
        <v>450</v>
      </c>
      <c r="DH58" s="49">
        <f t="shared" ca="1" si="10"/>
        <v>48</v>
      </c>
      <c r="DI58" s="49">
        <f t="shared" ca="1" si="0"/>
        <v>0</v>
      </c>
      <c r="DJ58" s="49">
        <f t="shared" ca="1" si="1"/>
        <v>0</v>
      </c>
    </row>
    <row r="59" spans="1:114" x14ac:dyDescent="0.2">
      <c r="A59" s="228">
        <f>TblRezone[[#This Row],[Hour]]</f>
        <v>56</v>
      </c>
      <c r="B59" s="229">
        <f ca="1">SUM(TblConstr[[#This Row],[Plain]:[Water]])</f>
        <v>0</v>
      </c>
      <c r="C59" s="230">
        <f ca="1">SUM(TblConstr[[#This Row],[Tot Hom]:[Tot Doc]])</f>
        <v>454</v>
      </c>
      <c r="D59" s="230">
        <f t="shared" si="11"/>
        <v>146</v>
      </c>
      <c r="E59" s="231"/>
      <c r="F59" s="74">
        <f ca="1">TblConstr[[#This Row],[Barren]]+TblConstr[[#This Row],[Buildings]]+TblConstr[[#This Row],[Incoming]]</f>
        <v>600</v>
      </c>
      <c r="G59" s="242">
        <f ca="1">OFFSET(TblConstr[[#This Row],[Plain]],-1,0)+TblConstr[[#This Row],[Ch_Plain]]</f>
        <v>0</v>
      </c>
      <c r="H59" s="236">
        <f ca="1">OFFSET(TblConstr[[#This Row],[Forest]],-1,0)+TblConstr[[#This Row],[Ch_Forest]]</f>
        <v>0</v>
      </c>
      <c r="I59" s="478">
        <f ca="1">OFFSET(TblConstr[[#This Row],[Mountain]],-1,0)+TblConstr[[#This Row],[Ch_Mountain]]</f>
        <v>0</v>
      </c>
      <c r="J59" s="482">
        <f ca="1">OFFSET(TblConstr[[#This Row],[Hill]],-1,0)+TblConstr[[#This Row],[Ch_Hill]]</f>
        <v>0</v>
      </c>
      <c r="K59" s="486">
        <f ca="1">OFFSET(TblConstr[[#This Row],[Swamp]],-1,0)+TblConstr[[#This Row],[Ch_Swamp]]</f>
        <v>0</v>
      </c>
      <c r="L59" s="239">
        <f ca="1">OFFSET(TblConstr[[#This Row],[Cavern]],-1,0)+TblConstr[[#This Row],[Ch_Cavern]]</f>
        <v>0</v>
      </c>
      <c r="M59" s="240">
        <f ca="1">OFFSET(TblConstr[[#This Row],[Water]],-1,0)+TblConstr[[#This Row],[Ch_Water]]</f>
        <v>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44407.041666666533</v>
      </c>
      <c r="AI59" s="234">
        <f ca="1">MIN(25%,(TblConstr[[#This Row],[Tot Fac]]+TblConstr[[#This Row],[Dest Fac]])/(TblConstr[[#This Row],[Land]]-TblExplore[[#This Row],[Land Bonus]]*20))</f>
        <v>7.4999999999999997E-2</v>
      </c>
      <c r="AJ59" s="234">
        <f ca="1">MIN(25%,(TblConstr[[#This Row],[Tot Fac]]+TblConstr[[#This Row],[Dest Fac]])/TblConstr[[#This Row],[Land]])</f>
        <v>7.4999999999999997E-2</v>
      </c>
      <c r="AK59" s="113">
        <f ca="1">TblProd[[#This Row],[Platinum]]</f>
        <v>437065</v>
      </c>
      <c r="AL59" s="113">
        <f ca="1">TblProd[[#This Row],[Lumber]]</f>
        <v>22105</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9" s="113">
        <f ca="1">ROUNDDOWN( MAX(1 - MIN(facs_constr_factor*TblConstr[[#This Row],[Facs -DB]],facs_constr_max) + tech_1_11*TblTech[[#This Row],[11-1]] + tech_6_3_2*TblTech[[#This Row],[6-3]] + tech_5_2_3*TblTech[[#This Row],[5-2]], 1-global_constr_cap) * TblConstr[[#This Row],[RCPA Lumber]],0)</f>
        <v>111</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9" s="113">
        <f ca="1">ROUNDDOWN( MAX(1 - MIN(facs_constr_factor*TblConstr[[#This Row],[Facs DB]],facs_constr_max) + tech_1_11*TblTech[[#This Row],[1-11]] + tech_6_3_2*TblTech[[#This Row],[6-3]] + tech_5_2_3*TblTech[[#This Row],[5-2]], 1-global_constr_cap) * TblConstr[[#This Row],[RCPA Lumber]],0)</f>
        <v>111</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1162</v>
      </c>
      <c r="AW59" s="113">
        <f ca="1">ROUND((MAX(TblConstr[[#This Row],[Buildings]],250,0.75*TblConstr[[#This Row],[Land]])-250) * 0.35+87.5,0)</f>
        <v>159</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264</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30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45</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15</v>
      </c>
      <c r="BM59" s="488" cm="1">
        <f t="array" aca="1" ref="BM59" ca="1">IF(TblConstr[[#This Row],[Hour]:[Hour]]&gt;12,OFFSET(TblConstr[[#This Row],[Tem]],-12,0),0)+OFFSET(TblConstr[[#This Row],[Tot Tem]],-1,0)-TblConstr[[#This Row],[Dest Tem]]</f>
        <v>20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20</v>
      </c>
      <c r="BR59" s="184"/>
      <c r="BS59" s="200"/>
      <c r="BT59" s="113">
        <f ca="1">TblConstr[[#This Row],[Land]]</f>
        <v>600</v>
      </c>
      <c r="BU59" s="205">
        <f ca="1">TblImps[[#This Row],[Time]]</f>
        <v>44407.041666666533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402</v>
      </c>
      <c r="DA59" s="113">
        <f t="shared" ca="1" si="13"/>
        <v>20</v>
      </c>
      <c r="DB59" s="49">
        <f t="shared" ca="1" si="14"/>
        <v>30</v>
      </c>
      <c r="DC59" s="113">
        <f t="shared" ca="1" si="15"/>
        <v>45</v>
      </c>
      <c r="DD59" s="113">
        <f t="shared" ca="1" si="16"/>
        <v>35</v>
      </c>
      <c r="DE59" s="49">
        <f t="shared" ca="1" si="17"/>
        <v>0</v>
      </c>
      <c r="DF59" s="113">
        <f t="shared" ca="1" si="18"/>
        <v>20</v>
      </c>
      <c r="DG59" s="113" cm="1">
        <f t="array" aca="1" ref="DG59" ca="1">INDEX(TblConstr[[Total Plain]:[Total Water]],ROW()-ROW(TblConstr[#Headers]),MATCH("Total "&amp;home_land,TblConstr[[#Headers],[Total Plain]:[Total Water]],0))+TblConstr[[#This Row],[Homes]]</f>
        <v>450</v>
      </c>
      <c r="DH59" s="49">
        <f t="shared" ca="1" si="10"/>
        <v>48</v>
      </c>
      <c r="DI59" s="49">
        <f t="shared" ca="1" si="0"/>
        <v>0</v>
      </c>
      <c r="DJ59" s="49">
        <f t="shared" ca="1" si="1"/>
        <v>0</v>
      </c>
    </row>
    <row r="60" spans="1:114" x14ac:dyDescent="0.2">
      <c r="A60" s="228">
        <f>TblRezone[[#This Row],[Hour]]</f>
        <v>57</v>
      </c>
      <c r="B60" s="229">
        <f ca="1">SUM(TblConstr[[#This Row],[Plain]:[Water]])</f>
        <v>0</v>
      </c>
      <c r="C60" s="230">
        <f ca="1">SUM(TblConstr[[#This Row],[Tot Hom]:[Tot Doc]])</f>
        <v>454</v>
      </c>
      <c r="D60" s="230">
        <f t="shared" si="11"/>
        <v>146</v>
      </c>
      <c r="E60" s="231"/>
      <c r="F60" s="74">
        <f ca="1">TblConstr[[#This Row],[Barren]]+TblConstr[[#This Row],[Buildings]]+TblConstr[[#This Row],[Incoming]]</f>
        <v>600</v>
      </c>
      <c r="G60" s="242">
        <f ca="1">OFFSET(TblConstr[[#This Row],[Plain]],-1,0)+TblConstr[[#This Row],[Ch_Plain]]</f>
        <v>0</v>
      </c>
      <c r="H60" s="236">
        <f ca="1">OFFSET(TblConstr[[#This Row],[Forest]],-1,0)+TblConstr[[#This Row],[Ch_Forest]]</f>
        <v>0</v>
      </c>
      <c r="I60" s="478">
        <f ca="1">OFFSET(TblConstr[[#This Row],[Mountain]],-1,0)+TblConstr[[#This Row],[Ch_Mountain]]</f>
        <v>0</v>
      </c>
      <c r="J60" s="482">
        <f ca="1">OFFSET(TblConstr[[#This Row],[Hill]],-1,0)+TblConstr[[#This Row],[Ch_Hill]]</f>
        <v>0</v>
      </c>
      <c r="K60" s="486">
        <f ca="1">OFFSET(TblConstr[[#This Row],[Swamp]],-1,0)+TblConstr[[#This Row],[Ch_Swamp]]</f>
        <v>0</v>
      </c>
      <c r="L60" s="239">
        <f ca="1">OFFSET(TblConstr[[#This Row],[Cavern]],-1,0)+TblConstr[[#This Row],[Ch_Cavern]]</f>
        <v>0</v>
      </c>
      <c r="M60" s="240">
        <f ca="1">OFFSET(TblConstr[[#This Row],[Water]],-1,0)+TblConstr[[#This Row],[Ch_Water]]</f>
        <v>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44407.083333333198</v>
      </c>
      <c r="AI60" s="234">
        <f ca="1">MIN(25%,(TblConstr[[#This Row],[Tot Fac]]+TblConstr[[#This Row],[Dest Fac]])/(TblConstr[[#This Row],[Land]]-TblExplore[[#This Row],[Land Bonus]]*20))</f>
        <v>7.4999999999999997E-2</v>
      </c>
      <c r="AJ60" s="234">
        <f ca="1">MIN(25%,(TblConstr[[#This Row],[Tot Fac]]+TblConstr[[#This Row],[Dest Fac]])/TblConstr[[#This Row],[Land]])</f>
        <v>7.4999999999999997E-2</v>
      </c>
      <c r="AK60" s="113">
        <f ca="1">TblProd[[#This Row],[Platinum]]</f>
        <v>474311</v>
      </c>
      <c r="AL60" s="113">
        <f ca="1">TblProd[[#This Row],[Lumber]]</f>
        <v>22884</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60" s="113">
        <f ca="1">ROUNDDOWN( MAX(1 - MIN(facs_constr_factor*TblConstr[[#This Row],[Facs -DB]],facs_constr_max) + tech_1_11*TblTech[[#This Row],[11-1]] + tech_6_3_2*TblTech[[#This Row],[6-3]] + tech_5_2_3*TblTech[[#This Row],[5-2]], 1-global_constr_cap) * TblConstr[[#This Row],[RCPA Lumber]],0)</f>
        <v>111</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60" s="113">
        <f ca="1">ROUNDDOWN( MAX(1 - MIN(facs_constr_factor*TblConstr[[#This Row],[Facs DB]],facs_constr_max) + tech_1_11*TblTech[[#This Row],[1-11]] + tech_6_3_2*TblTech[[#This Row],[6-3]] + tech_5_2_3*TblTech[[#This Row],[5-2]], 1-global_constr_cap) * TblConstr[[#This Row],[RCPA Lumber]],0)</f>
        <v>111</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1162</v>
      </c>
      <c r="AW60" s="113">
        <f ca="1">ROUND((MAX(TblConstr[[#This Row],[Buildings]],250,0.75*TblConstr[[#This Row],[Land]])-250) * 0.35+87.5,0)</f>
        <v>159</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264</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30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45</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15</v>
      </c>
      <c r="BM60" s="488" cm="1">
        <f t="array" aca="1" ref="BM60" ca="1">IF(TblConstr[[#This Row],[Hour]:[Hour]]&gt;12,OFFSET(TblConstr[[#This Row],[Tem]],-12,0),0)+OFFSET(TblConstr[[#This Row],[Tot Tem]],-1,0)-TblConstr[[#This Row],[Dest Tem]]</f>
        <v>20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20</v>
      </c>
      <c r="BR60" s="184"/>
      <c r="BS60" s="200"/>
      <c r="BT60" s="113">
        <f ca="1">TblConstr[[#This Row],[Land]]</f>
        <v>600</v>
      </c>
      <c r="BU60" s="205">
        <f ca="1">TblImps[[#This Row],[Time]]</f>
        <v>44407.083333333198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402</v>
      </c>
      <c r="DA60" s="113">
        <f t="shared" ca="1" si="13"/>
        <v>20</v>
      </c>
      <c r="DB60" s="49">
        <f t="shared" ca="1" si="14"/>
        <v>30</v>
      </c>
      <c r="DC60" s="113">
        <f t="shared" ca="1" si="15"/>
        <v>45</v>
      </c>
      <c r="DD60" s="113">
        <f t="shared" ca="1" si="16"/>
        <v>35</v>
      </c>
      <c r="DE60" s="49">
        <f t="shared" ca="1" si="17"/>
        <v>0</v>
      </c>
      <c r="DF60" s="113">
        <f t="shared" ca="1" si="18"/>
        <v>20</v>
      </c>
      <c r="DG60" s="113" cm="1">
        <f t="array" aca="1" ref="DG60" ca="1">INDEX(TblConstr[[Total Plain]:[Total Water]],ROW()-ROW(TblConstr[#Headers]),MATCH("Total "&amp;home_land,TblConstr[[#Headers],[Total Plain]:[Total Water]],0))+TblConstr[[#This Row],[Homes]]</f>
        <v>450</v>
      </c>
      <c r="DH60" s="49">
        <f t="shared" ca="1" si="10"/>
        <v>48</v>
      </c>
      <c r="DI60" s="49">
        <f t="shared" ca="1" si="0"/>
        <v>0</v>
      </c>
      <c r="DJ60" s="49">
        <f t="shared" ca="1" si="1"/>
        <v>0</v>
      </c>
    </row>
    <row r="61" spans="1:114" x14ac:dyDescent="0.2">
      <c r="A61" s="228">
        <f>TblRezone[[#This Row],[Hour]]</f>
        <v>58</v>
      </c>
      <c r="B61" s="229">
        <f ca="1">SUM(TblConstr[[#This Row],[Plain]:[Water]])</f>
        <v>0</v>
      </c>
      <c r="C61" s="230">
        <f ca="1">SUM(TblConstr[[#This Row],[Tot Hom]:[Tot Doc]])</f>
        <v>454</v>
      </c>
      <c r="D61" s="230">
        <f t="shared" si="11"/>
        <v>146</v>
      </c>
      <c r="E61" s="231"/>
      <c r="F61" s="74">
        <f ca="1">TblConstr[[#This Row],[Barren]]+TblConstr[[#This Row],[Buildings]]+TblConstr[[#This Row],[Incoming]]</f>
        <v>600</v>
      </c>
      <c r="G61" s="242">
        <f ca="1">OFFSET(TblConstr[[#This Row],[Plain]],-1,0)+TblConstr[[#This Row],[Ch_Plain]]</f>
        <v>0</v>
      </c>
      <c r="H61" s="236">
        <f ca="1">OFFSET(TblConstr[[#This Row],[Forest]],-1,0)+TblConstr[[#This Row],[Ch_Forest]]</f>
        <v>0</v>
      </c>
      <c r="I61" s="478">
        <f ca="1">OFFSET(TblConstr[[#This Row],[Mountain]],-1,0)+TblConstr[[#This Row],[Ch_Mountain]]</f>
        <v>0</v>
      </c>
      <c r="J61" s="482">
        <f ca="1">OFFSET(TblConstr[[#This Row],[Hill]],-1,0)+TblConstr[[#This Row],[Ch_Hill]]</f>
        <v>0</v>
      </c>
      <c r="K61" s="486">
        <f ca="1">OFFSET(TblConstr[[#This Row],[Swamp]],-1,0)+TblConstr[[#This Row],[Ch_Swamp]]</f>
        <v>0</v>
      </c>
      <c r="L61" s="239">
        <f ca="1">OFFSET(TblConstr[[#This Row],[Cavern]],-1,0)+TblConstr[[#This Row],[Ch_Cavern]]</f>
        <v>0</v>
      </c>
      <c r="M61" s="240">
        <f ca="1">OFFSET(TblConstr[[#This Row],[Water]],-1,0)+TblConstr[[#This Row],[Ch_Water]]</f>
        <v>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44407.124999999862</v>
      </c>
      <c r="AI61" s="234">
        <f ca="1">MIN(25%,(TblConstr[[#This Row],[Tot Fac]]+TblConstr[[#This Row],[Dest Fac]])/(TblConstr[[#This Row],[Land]]-TblExplore[[#This Row],[Land Bonus]]*20))</f>
        <v>7.4999999999999997E-2</v>
      </c>
      <c r="AJ61" s="234">
        <f ca="1">MIN(25%,(TblConstr[[#This Row],[Tot Fac]]+TblConstr[[#This Row],[Dest Fac]])/TblConstr[[#This Row],[Land]])</f>
        <v>7.4999999999999997E-2</v>
      </c>
      <c r="AK61" s="113">
        <f ca="1">TblProd[[#This Row],[Platinum]]</f>
        <v>511317</v>
      </c>
      <c r="AL61" s="113">
        <f ca="1">TblProd[[#This Row],[Lumber]]</f>
        <v>23655</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61" s="113">
        <f ca="1">ROUNDDOWN( MAX(1 - MIN(facs_constr_factor*TblConstr[[#This Row],[Facs -DB]],facs_constr_max) + tech_1_11*TblTech[[#This Row],[11-1]] + tech_6_3_2*TblTech[[#This Row],[6-3]] + tech_5_2_3*TblTech[[#This Row],[5-2]], 1-global_constr_cap) * TblConstr[[#This Row],[RCPA Lumber]],0)</f>
        <v>111</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61" s="113">
        <f ca="1">ROUNDDOWN( MAX(1 - MIN(facs_constr_factor*TblConstr[[#This Row],[Facs DB]],facs_constr_max) + tech_1_11*TblTech[[#This Row],[1-11]] + tech_6_3_2*TblTech[[#This Row],[6-3]] + tech_5_2_3*TblTech[[#This Row],[5-2]], 1-global_constr_cap) * TblConstr[[#This Row],[RCPA Lumber]],0)</f>
        <v>111</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1162</v>
      </c>
      <c r="AW61" s="113">
        <f ca="1">ROUND((MAX(TblConstr[[#This Row],[Buildings]],250,0.75*TblConstr[[#This Row],[Land]])-250) * 0.35+87.5,0)</f>
        <v>159</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264</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30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45</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15</v>
      </c>
      <c r="BM61" s="488" cm="1">
        <f t="array" aca="1" ref="BM61" ca="1">IF(TblConstr[[#This Row],[Hour]:[Hour]]&gt;12,OFFSET(TblConstr[[#This Row],[Tem]],-12,0),0)+OFFSET(TblConstr[[#This Row],[Tot Tem]],-1,0)-TblConstr[[#This Row],[Dest Tem]]</f>
        <v>20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20</v>
      </c>
      <c r="BR61" s="184"/>
      <c r="BS61" s="200"/>
      <c r="BT61" s="113">
        <f ca="1">TblConstr[[#This Row],[Land]]</f>
        <v>600</v>
      </c>
      <c r="BU61" s="205">
        <f ca="1">TblImps[[#This Row],[Time]]</f>
        <v>44407.124999999862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402</v>
      </c>
      <c r="DA61" s="113">
        <f t="shared" ca="1" si="13"/>
        <v>20</v>
      </c>
      <c r="DB61" s="49">
        <f t="shared" ca="1" si="14"/>
        <v>30</v>
      </c>
      <c r="DC61" s="113">
        <f t="shared" ca="1" si="15"/>
        <v>45</v>
      </c>
      <c r="DD61" s="113">
        <f t="shared" ca="1" si="16"/>
        <v>35</v>
      </c>
      <c r="DE61" s="49">
        <f t="shared" ca="1" si="17"/>
        <v>0</v>
      </c>
      <c r="DF61" s="113">
        <f t="shared" ca="1" si="18"/>
        <v>20</v>
      </c>
      <c r="DG61" s="113" cm="1">
        <f t="array" aca="1" ref="DG61" ca="1">INDEX(TblConstr[[Total Plain]:[Total Water]],ROW()-ROW(TblConstr[#Headers]),MATCH("Total "&amp;home_land,TblConstr[[#Headers],[Total Plain]:[Total Water]],0))+TblConstr[[#This Row],[Homes]]</f>
        <v>450</v>
      </c>
      <c r="DH61" s="49">
        <f t="shared" ca="1" si="10"/>
        <v>48</v>
      </c>
      <c r="DI61" s="49">
        <f t="shared" ca="1" si="0"/>
        <v>0</v>
      </c>
      <c r="DJ61" s="49">
        <f t="shared" ca="1" si="1"/>
        <v>0</v>
      </c>
    </row>
    <row r="62" spans="1:114" x14ac:dyDescent="0.2">
      <c r="A62" s="228">
        <f>TblRezone[[#This Row],[Hour]]</f>
        <v>59</v>
      </c>
      <c r="B62" s="229">
        <f ca="1">SUM(TblConstr[[#This Row],[Plain]:[Water]])</f>
        <v>0</v>
      </c>
      <c r="C62" s="230">
        <f ca="1">SUM(TblConstr[[#This Row],[Tot Hom]:[Tot Doc]])</f>
        <v>550</v>
      </c>
      <c r="D62" s="230">
        <f t="shared" si="11"/>
        <v>50</v>
      </c>
      <c r="E62" s="231"/>
      <c r="F62" s="74">
        <f ca="1">TblConstr[[#This Row],[Barren]]+TblConstr[[#This Row],[Buildings]]+TblConstr[[#This Row],[Incoming]]</f>
        <v>600</v>
      </c>
      <c r="G62" s="242">
        <f ca="1">OFFSET(TblConstr[[#This Row],[Plain]],-1,0)+TblConstr[[#This Row],[Ch_Plain]]</f>
        <v>0</v>
      </c>
      <c r="H62" s="236">
        <f ca="1">OFFSET(TblConstr[[#This Row],[Forest]],-1,0)+TblConstr[[#This Row],[Ch_Forest]]</f>
        <v>0</v>
      </c>
      <c r="I62" s="478">
        <f ca="1">OFFSET(TblConstr[[#This Row],[Mountain]],-1,0)+TblConstr[[#This Row],[Ch_Mountain]]</f>
        <v>0</v>
      </c>
      <c r="J62" s="482">
        <f ca="1">OFFSET(TblConstr[[#This Row],[Hill]],-1,0)+TblConstr[[#This Row],[Ch_Hill]]</f>
        <v>0</v>
      </c>
      <c r="K62" s="486">
        <f ca="1">OFFSET(TblConstr[[#This Row],[Swamp]],-1,0)+TblConstr[[#This Row],[Ch_Swamp]]</f>
        <v>0</v>
      </c>
      <c r="L62" s="239">
        <f ca="1">OFFSET(TblConstr[[#This Row],[Cavern]],-1,0)+TblConstr[[#This Row],[Ch_Cavern]]</f>
        <v>0</v>
      </c>
      <c r="M62" s="240">
        <f ca="1">OFFSET(TblConstr[[#This Row],[Water]],-1,0)+TblConstr[[#This Row],[Ch_Water]]</f>
        <v>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44407.166666666526</v>
      </c>
      <c r="AI62" s="234">
        <f ca="1">MIN(25%,(TblConstr[[#This Row],[Tot Fac]]+TblConstr[[#This Row],[Dest Fac]])/(TblConstr[[#This Row],[Land]]-TblExplore[[#This Row],[Land Bonus]]*20))</f>
        <v>7.4999999999999997E-2</v>
      </c>
      <c r="AJ62" s="234">
        <f ca="1">MIN(25%,(TblConstr[[#This Row],[Tot Fac]]+TblConstr[[#This Row],[Dest Fac]])/TblConstr[[#This Row],[Land]])</f>
        <v>7.4999999999999997E-2</v>
      </c>
      <c r="AK62" s="113">
        <f ca="1">TblProd[[#This Row],[Platinum]]</f>
        <v>548082</v>
      </c>
      <c r="AL62" s="113">
        <f ca="1">TblProd[[#This Row],[Lumber]]</f>
        <v>24418</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916</v>
      </c>
      <c r="AN62" s="113">
        <f ca="1">ROUNDDOWN( MAX(1 - MIN(facs_constr_factor*TblConstr[[#This Row],[Facs -DB]],facs_constr_max) + tech_1_11*TblTech[[#This Row],[11-1]] + tech_6_3_2*TblTech[[#This Row],[6-3]] + tech_5_2_3*TblTech[[#This Row],[5-2]], 1-global_constr_cap) * TblConstr[[#This Row],[RCPA Lumber]],0)</f>
        <v>135</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916</v>
      </c>
      <c r="AP62" s="113">
        <f ca="1">ROUNDDOWN( MAX(1 - MIN(facs_constr_factor*TblConstr[[#This Row],[Facs DB]],facs_constr_max) + tech_1_11*TblTech[[#This Row],[1-11]] + tech_6_3_2*TblTech[[#This Row],[6-3]] + tech_5_2_3*TblTech[[#This Row],[5-2]], 1-global_constr_cap) * TblConstr[[#This Row],[RCPA Lumber]],0)</f>
        <v>135</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1309</v>
      </c>
      <c r="AW62" s="113">
        <f ca="1">ROUND((MAX(TblConstr[[#This Row],[Buildings]],250,0.75*TblConstr[[#This Row],[Land]])-250) * 0.35+87.5,0)</f>
        <v>193</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264</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96</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30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45</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15</v>
      </c>
      <c r="BM62" s="488" cm="1">
        <f t="array" aca="1" ref="BM62" ca="1">IF(TblConstr[[#This Row],[Hour]:[Hour]]&gt;12,OFFSET(TblConstr[[#This Row],[Tem]],-12,0),0)+OFFSET(TblConstr[[#This Row],[Tot Tem]],-1,0)-TblConstr[[#This Row],[Dest Tem]]</f>
        <v>20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20</v>
      </c>
      <c r="BR62" s="184"/>
      <c r="BS62" s="200"/>
      <c r="BT62" s="113">
        <f ca="1">TblConstr[[#This Row],[Land]]</f>
        <v>600</v>
      </c>
      <c r="BU62" s="205">
        <f ca="1">TblImps[[#This Row],[Time]]</f>
        <v>44407.166666666526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402</v>
      </c>
      <c r="DA62" s="113">
        <f t="shared" ca="1" si="13"/>
        <v>20</v>
      </c>
      <c r="DB62" s="49">
        <f t="shared" ca="1" si="14"/>
        <v>30</v>
      </c>
      <c r="DC62" s="113">
        <f t="shared" ca="1" si="15"/>
        <v>45</v>
      </c>
      <c r="DD62" s="113">
        <f t="shared" ca="1" si="16"/>
        <v>35</v>
      </c>
      <c r="DE62" s="49">
        <f t="shared" ca="1" si="17"/>
        <v>0</v>
      </c>
      <c r="DF62" s="113">
        <f t="shared" ca="1" si="18"/>
        <v>20</v>
      </c>
      <c r="DG62" s="113" cm="1">
        <f t="array" aca="1" ref="DG62" ca="1">INDEX(TblConstr[[Total Plain]:[Total Water]],ROW()-ROW(TblConstr[#Headers]),MATCH("Total "&amp;home_land,TblConstr[[#Headers],[Total Plain]:[Total Water]],0))+TblConstr[[#This Row],[Homes]]</f>
        <v>450</v>
      </c>
      <c r="DH62" s="49">
        <f t="shared" ca="1" si="10"/>
        <v>48</v>
      </c>
      <c r="DI62" s="49">
        <f t="shared" ca="1" si="0"/>
        <v>0</v>
      </c>
      <c r="DJ62" s="49">
        <f t="shared" ca="1" si="1"/>
        <v>0</v>
      </c>
    </row>
    <row r="63" spans="1:114" x14ac:dyDescent="0.2">
      <c r="A63" s="228">
        <f>TblRezone[[#This Row],[Hour]]</f>
        <v>60</v>
      </c>
      <c r="B63" s="229">
        <f ca="1">SUM(TblConstr[[#This Row],[Plain]:[Water]])</f>
        <v>0</v>
      </c>
      <c r="C63" s="230">
        <f ca="1">SUM(TblConstr[[#This Row],[Tot Hom]:[Tot Doc]])</f>
        <v>557</v>
      </c>
      <c r="D63" s="230">
        <f t="shared" si="11"/>
        <v>43</v>
      </c>
      <c r="E63" s="231"/>
      <c r="F63" s="74">
        <f ca="1">TblConstr[[#This Row],[Barren]]+TblConstr[[#This Row],[Buildings]]+TblConstr[[#This Row],[Incoming]]</f>
        <v>600</v>
      </c>
      <c r="G63" s="242">
        <f ca="1">OFFSET(TblConstr[[#This Row],[Plain]],-1,0)+TblConstr[[#This Row],[Ch_Plain]]</f>
        <v>0</v>
      </c>
      <c r="H63" s="236">
        <f ca="1">OFFSET(TblConstr[[#This Row],[Forest]],-1,0)+TblConstr[[#This Row],[Ch_Forest]]</f>
        <v>0</v>
      </c>
      <c r="I63" s="478">
        <f ca="1">OFFSET(TblConstr[[#This Row],[Mountain]],-1,0)+TblConstr[[#This Row],[Ch_Mountain]]</f>
        <v>0</v>
      </c>
      <c r="J63" s="482">
        <f ca="1">OFFSET(TblConstr[[#This Row],[Hill]],-1,0)+TblConstr[[#This Row],[Ch_Hill]]</f>
        <v>0</v>
      </c>
      <c r="K63" s="486">
        <f ca="1">OFFSET(TblConstr[[#This Row],[Swamp]],-1,0)+TblConstr[[#This Row],[Ch_Swamp]]</f>
        <v>0</v>
      </c>
      <c r="L63" s="239">
        <f ca="1">OFFSET(TblConstr[[#This Row],[Cavern]],-1,0)+TblConstr[[#This Row],[Ch_Cavern]]</f>
        <v>0</v>
      </c>
      <c r="M63" s="240">
        <f ca="1">OFFSET(TblConstr[[#This Row],[Water]],-1,0)+TblConstr[[#This Row],[Ch_Water]]</f>
        <v>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44407.20833333319</v>
      </c>
      <c r="AI63" s="234">
        <f ca="1">MIN(25%,(TblConstr[[#This Row],[Tot Fac]]+TblConstr[[#This Row],[Dest Fac]])/(TblConstr[[#This Row],[Land]]-TblExplore[[#This Row],[Land Bonus]]*20))</f>
        <v>7.4999999999999997E-2</v>
      </c>
      <c r="AJ63" s="234">
        <f ca="1">MIN(25%,(TblConstr[[#This Row],[Tot Fac]]+TblConstr[[#This Row],[Dest Fac]])/TblConstr[[#This Row],[Land]])</f>
        <v>7.4999999999999997E-2</v>
      </c>
      <c r="AK63" s="113">
        <f ca="1">TblProd[[#This Row],[Platinum]]</f>
        <v>584610</v>
      </c>
      <c r="AL63" s="113">
        <f ca="1">TblProd[[#This Row],[Lumber]]</f>
        <v>25174</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924</v>
      </c>
      <c r="AN63" s="113">
        <f ca="1">ROUNDDOWN( MAX(1 - MIN(facs_constr_factor*TblConstr[[#This Row],[Facs -DB]],facs_constr_max) + tech_1_11*TblTech[[#This Row],[11-1]] + tech_6_3_2*TblTech[[#This Row],[6-3]] + tech_5_2_3*TblTech[[#This Row],[5-2]], 1-global_constr_cap) * TblConstr[[#This Row],[RCPA Lumber]],0)</f>
        <v>136</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924</v>
      </c>
      <c r="AP63" s="113">
        <f ca="1">ROUNDDOWN( MAX(1 - MIN(facs_constr_factor*TblConstr[[#This Row],[Facs DB]],facs_constr_max) + tech_1_11*TblTech[[#This Row],[1-11]] + tech_6_3_2*TblTech[[#This Row],[6-3]] + tech_5_2_3*TblTech[[#This Row],[5-2]], 1-global_constr_cap) * TblConstr[[#This Row],[RCPA Lumber]],0)</f>
        <v>136</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1320</v>
      </c>
      <c r="AW63" s="113">
        <f ca="1">ROUND((MAX(TblConstr[[#This Row],[Buildings]],250,0.75*TblConstr[[#This Row],[Land]])-250) * 0.35+87.5,0)</f>
        <v>195</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264</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103</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30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45</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15</v>
      </c>
      <c r="BM63" s="488" cm="1">
        <f t="array" aca="1" ref="BM63" ca="1">IF(TblConstr[[#This Row],[Hour]:[Hour]]&gt;12,OFFSET(TblConstr[[#This Row],[Tem]],-12,0),0)+OFFSET(TblConstr[[#This Row],[Tot Tem]],-1,0)-TblConstr[[#This Row],[Dest Tem]]</f>
        <v>20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20</v>
      </c>
      <c r="BR63" s="184"/>
      <c r="BS63" s="200"/>
      <c r="BT63" s="113">
        <f ca="1">TblConstr[[#This Row],[Land]]</f>
        <v>600</v>
      </c>
      <c r="BU63" s="205">
        <f ca="1">TblImps[[#This Row],[Time]]</f>
        <v>44407.20833333319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402</v>
      </c>
      <c r="DA63" s="113">
        <f t="shared" ca="1" si="13"/>
        <v>20</v>
      </c>
      <c r="DB63" s="49">
        <f t="shared" ca="1" si="14"/>
        <v>30</v>
      </c>
      <c r="DC63" s="113">
        <f t="shared" ca="1" si="15"/>
        <v>45</v>
      </c>
      <c r="DD63" s="113">
        <f t="shared" ca="1" si="16"/>
        <v>35</v>
      </c>
      <c r="DE63" s="49">
        <f t="shared" ca="1" si="17"/>
        <v>0</v>
      </c>
      <c r="DF63" s="113">
        <f t="shared" ca="1" si="18"/>
        <v>20</v>
      </c>
      <c r="DG63" s="113" cm="1">
        <f t="array" aca="1" ref="DG63" ca="1">INDEX(TblConstr[[Total Plain]:[Total Water]],ROW()-ROW(TblConstr[#Headers]),MATCH("Total "&amp;home_land,TblConstr[[#Headers],[Total Plain]:[Total Water]],0))+TblConstr[[#This Row],[Homes]]</f>
        <v>450</v>
      </c>
      <c r="DH63" s="49">
        <f t="shared" ca="1" si="10"/>
        <v>48</v>
      </c>
      <c r="DI63" s="49">
        <f t="shared" ca="1" si="0"/>
        <v>0</v>
      </c>
      <c r="DJ63" s="49">
        <f t="shared" ca="1" si="1"/>
        <v>0</v>
      </c>
    </row>
    <row r="64" spans="1:114" x14ac:dyDescent="0.2">
      <c r="A64" s="228">
        <f>TblRezone[[#This Row],[Hour]]</f>
        <v>61</v>
      </c>
      <c r="B64" s="229">
        <f ca="1">SUM(TblConstr[[#This Row],[Plain]:[Water]])</f>
        <v>0</v>
      </c>
      <c r="C64" s="230">
        <f ca="1">SUM(TblConstr[[#This Row],[Tot Hom]:[Tot Doc]])</f>
        <v>585</v>
      </c>
      <c r="D64" s="230">
        <f t="shared" si="11"/>
        <v>15</v>
      </c>
      <c r="E64" s="231"/>
      <c r="F64" s="74">
        <f ca="1">TblConstr[[#This Row],[Barren]]+TblConstr[[#This Row],[Buildings]]+TblConstr[[#This Row],[Incoming]]</f>
        <v>600</v>
      </c>
      <c r="G64" s="242">
        <f ca="1">OFFSET(TblConstr[[#This Row],[Plain]],-1,0)+TblConstr[[#This Row],[Ch_Plain]]</f>
        <v>0</v>
      </c>
      <c r="H64" s="236">
        <f ca="1">OFFSET(TblConstr[[#This Row],[Forest]],-1,0)+TblConstr[[#This Row],[Ch_Forest]]</f>
        <v>0</v>
      </c>
      <c r="I64" s="478">
        <f ca="1">OFFSET(TblConstr[[#This Row],[Mountain]],-1,0)+TblConstr[[#This Row],[Ch_Mountain]]</f>
        <v>0</v>
      </c>
      <c r="J64" s="482">
        <f ca="1">OFFSET(TblConstr[[#This Row],[Hill]],-1,0)+TblConstr[[#This Row],[Ch_Hill]]</f>
        <v>0</v>
      </c>
      <c r="K64" s="486">
        <f ca="1">OFFSET(TblConstr[[#This Row],[Swamp]],-1,0)+TblConstr[[#This Row],[Ch_Swamp]]</f>
        <v>0</v>
      </c>
      <c r="L64" s="239">
        <f ca="1">OFFSET(TblConstr[[#This Row],[Cavern]],-1,0)+TblConstr[[#This Row],[Ch_Cavern]]</f>
        <v>0</v>
      </c>
      <c r="M64" s="240">
        <f ca="1">OFFSET(TblConstr[[#This Row],[Water]],-1,0)+TblConstr[[#This Row],[Ch_Water]]</f>
        <v>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44407.249999999854</v>
      </c>
      <c r="AI64" s="234">
        <f ca="1">MIN(25%,(TblConstr[[#This Row],[Tot Fac]]+TblConstr[[#This Row],[Dest Fac]])/(TblConstr[[#This Row],[Land]]-TblExplore[[#This Row],[Land Bonus]]*20))</f>
        <v>7.4999999999999997E-2</v>
      </c>
      <c r="AJ64" s="234">
        <f ca="1">MIN(25%,(TblConstr[[#This Row],[Tot Fac]]+TblConstr[[#This Row],[Dest Fac]])/TblConstr[[#This Row],[Land]])</f>
        <v>7.4999999999999997E-2</v>
      </c>
      <c r="AK64" s="113">
        <f ca="1">TblProd[[#This Row],[Platinum]]</f>
        <v>81283</v>
      </c>
      <c r="AL64" s="113">
        <f ca="1">TblProd[[#This Row],[Lumber]]</f>
        <v>25922</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954</v>
      </c>
      <c r="AN64" s="113">
        <f ca="1">ROUNDDOWN( MAX(1 - MIN(facs_constr_factor*TblConstr[[#This Row],[Facs -DB]],facs_constr_max) + tech_1_11*TblTech[[#This Row],[11-1]] + tech_6_3_2*TblTech[[#This Row],[6-3]] + tech_5_2_3*TblTech[[#This Row],[5-2]], 1-global_constr_cap) * TblConstr[[#This Row],[RCPA Lumber]],0)</f>
        <v>143</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954</v>
      </c>
      <c r="AP64" s="113">
        <f ca="1">ROUNDDOWN( MAX(1 - MIN(facs_constr_factor*TblConstr[[#This Row],[Facs DB]],facs_constr_max) + tech_1_11*TblTech[[#This Row],[1-11]] + tech_6_3_2*TblTech[[#This Row],[6-3]] + tech_5_2_3*TblTech[[#This Row],[5-2]], 1-global_constr_cap) * TblConstr[[#This Row],[RCPA Lumber]],0)</f>
        <v>143</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1363</v>
      </c>
      <c r="AW64" s="113">
        <f ca="1">ROUND((MAX(TblConstr[[#This Row],[Buildings]],250,0.75*TblConstr[[#This Row],[Land]])-250) * 0.35+87.5,0)</f>
        <v>205</v>
      </c>
      <c r="AX64" s="200"/>
      <c r="AY64" s="243" cm="1">
        <f t="array" aca="1" ref="AY64" ca="1">IF(TblConstr[[#This Row],[Hour]:[Hour]]&gt;12,OFFSET(TblConstr[[#This Row],[Hom]],-12,0),0)+OFFSET(TblConstr[[#This Row],[Tot Hom]],-1,0)-TblConstr[[#This Row],[Dest Hom]]</f>
        <v>33</v>
      </c>
      <c r="AZ64" s="244" cm="1">
        <f t="array" aca="1" ref="AZ64" ca="1">IF(TblConstr[[#This Row],[Hour]:[Hour]]&gt;12,OFFSET(TblConstr[[#This Row],[Alc]],-12,0),0)+OFFSET(TblConstr[[#This Row],[Tot Alc]],-1,0)-TblConstr[[#This Row],[Dest Alc]]</f>
        <v>264</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108</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30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45</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15</v>
      </c>
      <c r="BM64" s="488" cm="1">
        <f t="array" aca="1" ref="BM64" ca="1">IF(TblConstr[[#This Row],[Hour]:[Hour]]&gt;12,OFFSET(TblConstr[[#This Row],[Tem]],-12,0),0)+OFFSET(TblConstr[[#This Row],[Tot Tem]],-1,0)-TblConstr[[#This Row],[Dest Tem]]</f>
        <v>20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20</v>
      </c>
      <c r="BR64" s="184"/>
      <c r="BS64" s="200"/>
      <c r="BT64" s="113">
        <f ca="1">TblConstr[[#This Row],[Land]]</f>
        <v>600</v>
      </c>
      <c r="BU64" s="205">
        <f ca="1">TblImps[[#This Row],[Time]]</f>
        <v>44407.249999999854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402</v>
      </c>
      <c r="DA64" s="113">
        <f t="shared" ca="1" si="13"/>
        <v>20</v>
      </c>
      <c r="DB64" s="49">
        <f t="shared" ca="1" si="14"/>
        <v>30</v>
      </c>
      <c r="DC64" s="113">
        <f t="shared" ca="1" si="15"/>
        <v>45</v>
      </c>
      <c r="DD64" s="113">
        <f t="shared" ca="1" si="16"/>
        <v>35</v>
      </c>
      <c r="DE64" s="49">
        <f t="shared" ca="1" si="17"/>
        <v>0</v>
      </c>
      <c r="DF64" s="113">
        <f t="shared" ca="1" si="18"/>
        <v>20</v>
      </c>
      <c r="DG64" s="113" cm="1">
        <f t="array" aca="1" ref="DG64" ca="1">INDEX(TblConstr[[Total Plain]:[Total Water]],ROW()-ROW(TblConstr[#Headers]),MATCH("Total "&amp;home_land,TblConstr[[#Headers],[Total Plain]:[Total Water]],0))+TblConstr[[#This Row],[Homes]]</f>
        <v>450</v>
      </c>
      <c r="DH64" s="49">
        <f t="shared" ca="1" si="10"/>
        <v>48</v>
      </c>
      <c r="DI64" s="49">
        <f t="shared" ca="1" si="0"/>
        <v>0</v>
      </c>
      <c r="DJ64" s="49">
        <f t="shared" ca="1" si="1"/>
        <v>0</v>
      </c>
    </row>
    <row r="65" spans="1:114" x14ac:dyDescent="0.2">
      <c r="A65" s="228">
        <f>TblRezone[[#This Row],[Hour]]</f>
        <v>62</v>
      </c>
      <c r="B65" s="229">
        <f ca="1">SUM(TblConstr[[#This Row],[Plain]:[Water]])</f>
        <v>0</v>
      </c>
      <c r="C65" s="230">
        <f ca="1">SUM(TblConstr[[#This Row],[Tot Hom]:[Tot Doc]])</f>
        <v>593</v>
      </c>
      <c r="D65" s="230">
        <f t="shared" si="11"/>
        <v>7</v>
      </c>
      <c r="E65" s="231"/>
      <c r="F65" s="74">
        <f ca="1">TblConstr[[#This Row],[Barren]]+TblConstr[[#This Row],[Buildings]]+TblConstr[[#This Row],[Incoming]]</f>
        <v>600</v>
      </c>
      <c r="G65" s="242">
        <f ca="1">OFFSET(TblConstr[[#This Row],[Plain]],-1,0)+TblConstr[[#This Row],[Ch_Plain]]</f>
        <v>0</v>
      </c>
      <c r="H65" s="236">
        <f ca="1">OFFSET(TblConstr[[#This Row],[Forest]],-1,0)+TblConstr[[#This Row],[Ch_Forest]]</f>
        <v>0</v>
      </c>
      <c r="I65" s="478">
        <f ca="1">OFFSET(TblConstr[[#This Row],[Mountain]],-1,0)+TblConstr[[#This Row],[Ch_Mountain]]</f>
        <v>0</v>
      </c>
      <c r="J65" s="482">
        <f ca="1">OFFSET(TblConstr[[#This Row],[Hill]],-1,0)+TblConstr[[#This Row],[Ch_Hill]]</f>
        <v>0</v>
      </c>
      <c r="K65" s="486">
        <f ca="1">OFFSET(TblConstr[[#This Row],[Swamp]],-1,0)+TblConstr[[#This Row],[Ch_Swamp]]</f>
        <v>0</v>
      </c>
      <c r="L65" s="239">
        <f ca="1">OFFSET(TblConstr[[#This Row],[Cavern]],-1,0)+TblConstr[[#This Row],[Ch_Cavern]]</f>
        <v>0</v>
      </c>
      <c r="M65" s="240">
        <f ca="1">OFFSET(TblConstr[[#This Row],[Water]],-1,0)+TblConstr[[#This Row],[Ch_Water]]</f>
        <v>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44407.291666666519</v>
      </c>
      <c r="AI65" s="234">
        <f ca="1">MIN(25%,(TblConstr[[#This Row],[Tot Fac]]+TblConstr[[#This Row],[Dest Fac]])/(TblConstr[[#This Row],[Land]]-TblExplore[[#This Row],[Land Bonus]]*20))</f>
        <v>7.4999999999999997E-2</v>
      </c>
      <c r="AJ65" s="234">
        <f ca="1">MIN(25%,(TblConstr[[#This Row],[Tot Fac]]+TblConstr[[#This Row],[Dest Fac]])/TblConstr[[#This Row],[Land]])</f>
        <v>7.4999999999999997E-2</v>
      </c>
      <c r="AK65" s="113">
        <f ca="1">TblProd[[#This Row],[Platinum]]</f>
        <v>118393</v>
      </c>
      <c r="AL65" s="113">
        <f ca="1">TblProd[[#This Row],[Lumber]]</f>
        <v>26663</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962</v>
      </c>
      <c r="AN65" s="113">
        <f ca="1">ROUNDDOWN( MAX(1 - MIN(facs_constr_factor*TblConstr[[#This Row],[Facs -DB]],facs_constr_max) + tech_1_11*TblTech[[#This Row],[11-1]] + tech_6_3_2*TblTech[[#This Row],[6-3]] + tech_5_2_3*TblTech[[#This Row],[5-2]], 1-global_constr_cap) * TblConstr[[#This Row],[RCPA Lumber]],0)</f>
        <v>145</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962</v>
      </c>
      <c r="AP65" s="113">
        <f ca="1">ROUNDDOWN( MAX(1 - MIN(facs_constr_factor*TblConstr[[#This Row],[Facs DB]],facs_constr_max) + tech_1_11*TblTech[[#This Row],[1-11]] + tech_6_3_2*TblTech[[#This Row],[6-3]] + tech_5_2_3*TblTech[[#This Row],[5-2]], 1-global_constr_cap) * TblConstr[[#This Row],[RCPA Lumber]],0)</f>
        <v>145</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1375</v>
      </c>
      <c r="AW65" s="113">
        <f ca="1">ROUND((MAX(TblConstr[[#This Row],[Buildings]],250,0.75*TblConstr[[#This Row],[Land]])-250) * 0.35+87.5,0)</f>
        <v>208</v>
      </c>
      <c r="AX65" s="200"/>
      <c r="AY65" s="243" cm="1">
        <f t="array" aca="1" ref="AY65" ca="1">IF(TblConstr[[#This Row],[Hour]:[Hour]]&gt;12,OFFSET(TblConstr[[#This Row],[Hom]],-12,0),0)+OFFSET(TblConstr[[#This Row],[Tot Hom]],-1,0)-TblConstr[[#This Row],[Dest Hom]]</f>
        <v>41</v>
      </c>
      <c r="AZ65" s="244" cm="1">
        <f t="array" aca="1" ref="AZ65" ca="1">IF(TblConstr[[#This Row],[Hour]:[Hour]]&gt;12,OFFSET(TblConstr[[#This Row],[Alc]],-12,0),0)+OFFSET(TblConstr[[#This Row],[Tot Alc]],-1,0)-TblConstr[[#This Row],[Dest Alc]]</f>
        <v>264</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108</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30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45</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15</v>
      </c>
      <c r="BM65" s="488" cm="1">
        <f t="array" aca="1" ref="BM65" ca="1">IF(TblConstr[[#This Row],[Hour]:[Hour]]&gt;12,OFFSET(TblConstr[[#This Row],[Tem]],-12,0),0)+OFFSET(TblConstr[[#This Row],[Tot Tem]],-1,0)-TblConstr[[#This Row],[Dest Tem]]</f>
        <v>20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20</v>
      </c>
      <c r="BR65" s="184"/>
      <c r="BS65" s="200"/>
      <c r="BT65" s="113">
        <f ca="1">TblConstr[[#This Row],[Land]]</f>
        <v>600</v>
      </c>
      <c r="BU65" s="205">
        <f ca="1">TblImps[[#This Row],[Time]]</f>
        <v>44407.291666666519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402</v>
      </c>
      <c r="DA65" s="113">
        <f t="shared" ca="1" si="13"/>
        <v>20</v>
      </c>
      <c r="DB65" s="49">
        <f t="shared" ca="1" si="14"/>
        <v>30</v>
      </c>
      <c r="DC65" s="113">
        <f t="shared" ca="1" si="15"/>
        <v>45</v>
      </c>
      <c r="DD65" s="113">
        <f t="shared" ca="1" si="16"/>
        <v>35</v>
      </c>
      <c r="DE65" s="49">
        <f t="shared" ca="1" si="17"/>
        <v>0</v>
      </c>
      <c r="DF65" s="113">
        <f t="shared" ca="1" si="18"/>
        <v>20</v>
      </c>
      <c r="DG65" s="113" cm="1">
        <f t="array" aca="1" ref="DG65" ca="1">INDEX(TblConstr[[Total Plain]:[Total Water]],ROW()-ROW(TblConstr[#Headers]),MATCH("Total "&amp;home_land,TblConstr[[#Headers],[Total Plain]:[Total Water]],0))+TblConstr[[#This Row],[Homes]]</f>
        <v>450</v>
      </c>
      <c r="DH65" s="49">
        <f t="shared" ca="1" si="10"/>
        <v>48</v>
      </c>
      <c r="DI65" s="49">
        <f t="shared" ca="1" si="0"/>
        <v>0</v>
      </c>
      <c r="DJ65" s="49">
        <f t="shared" ca="1" si="1"/>
        <v>0</v>
      </c>
    </row>
    <row r="66" spans="1:114" x14ac:dyDescent="0.2">
      <c r="A66" s="228">
        <f>TblRezone[[#This Row],[Hour]]</f>
        <v>63</v>
      </c>
      <c r="B66" s="229">
        <f ca="1">SUM(TblConstr[[#This Row],[Plain]:[Water]])</f>
        <v>0</v>
      </c>
      <c r="C66" s="230">
        <f ca="1">SUM(TblConstr[[#This Row],[Tot Hom]:[Tot Doc]])</f>
        <v>600</v>
      </c>
      <c r="D66" s="230">
        <f t="shared" si="11"/>
        <v>0</v>
      </c>
      <c r="E66" s="231"/>
      <c r="F66" s="74">
        <f ca="1">TblConstr[[#This Row],[Barren]]+TblConstr[[#This Row],[Buildings]]+TblConstr[[#This Row],[Incoming]]</f>
        <v>600</v>
      </c>
      <c r="G66" s="242">
        <f ca="1">OFFSET(TblConstr[[#This Row],[Plain]],-1,0)+TblConstr[[#This Row],[Ch_Plain]]</f>
        <v>0</v>
      </c>
      <c r="H66" s="236">
        <f ca="1">OFFSET(TblConstr[[#This Row],[Forest]],-1,0)+TblConstr[[#This Row],[Ch_Forest]]</f>
        <v>0</v>
      </c>
      <c r="I66" s="478">
        <f ca="1">OFFSET(TblConstr[[#This Row],[Mountain]],-1,0)+TblConstr[[#This Row],[Ch_Mountain]]</f>
        <v>0</v>
      </c>
      <c r="J66" s="482">
        <f ca="1">OFFSET(TblConstr[[#This Row],[Hill]],-1,0)+TblConstr[[#This Row],[Ch_Hill]]</f>
        <v>0</v>
      </c>
      <c r="K66" s="486">
        <f ca="1">OFFSET(TblConstr[[#This Row],[Swamp]],-1,0)+TblConstr[[#This Row],[Ch_Swamp]]</f>
        <v>0</v>
      </c>
      <c r="L66" s="239">
        <f ca="1">OFFSET(TblConstr[[#This Row],[Cavern]],-1,0)+TblConstr[[#This Row],[Ch_Cavern]]</f>
        <v>0</v>
      </c>
      <c r="M66" s="240">
        <f ca="1">OFFSET(TblConstr[[#This Row],[Water]],-1,0)+TblConstr[[#This Row],[Ch_Water]]</f>
        <v>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44407.333333333183</v>
      </c>
      <c r="AI66" s="234">
        <f ca="1">MIN(25%,(TblConstr[[#This Row],[Tot Fac]]+TblConstr[[#This Row],[Dest Fac]])/(TblConstr[[#This Row],[Land]]-TblExplore[[#This Row],[Land Bonus]]*20))</f>
        <v>7.4999999999999997E-2</v>
      </c>
      <c r="AJ66" s="234">
        <f ca="1">MIN(25%,(TblConstr[[#This Row],[Tot Fac]]+TblConstr[[#This Row],[Dest Fac]])/TblConstr[[#This Row],[Land]])</f>
        <v>7.4999999999999997E-2</v>
      </c>
      <c r="AK66" s="113">
        <f ca="1">TblProd[[#This Row],[Platinum]]</f>
        <v>155627</v>
      </c>
      <c r="AL66" s="113">
        <f ca="1">TblProd[[#This Row],[Lumber]]</f>
        <v>27396</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6" s="113">
        <f ca="1">ROUNDDOWN( MAX(1 - MIN(facs_constr_factor*TblConstr[[#This Row],[Facs -DB]],facs_constr_max) + tech_1_11*TblTech[[#This Row],[11-1]] + tech_6_3_2*TblTech[[#This Row],[6-3]] + tech_5_2_3*TblTech[[#This Row],[5-2]], 1-global_constr_cap) * TblConstr[[#This Row],[RCPA Lumber]],0)</f>
        <v>147</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6" s="113">
        <f ca="1">ROUNDDOWN( MAX(1 - MIN(facs_constr_factor*TblConstr[[#This Row],[Facs DB]],facs_constr_max) + tech_1_11*TblTech[[#This Row],[1-11]] + tech_6_3_2*TblTech[[#This Row],[6-3]] + tech_5_2_3*TblTech[[#This Row],[5-2]], 1-global_constr_cap) * TblConstr[[#This Row],[RCPA Lumber]],0)</f>
        <v>147</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1386</v>
      </c>
      <c r="AW66" s="113">
        <f ca="1">ROUND((MAX(TblConstr[[#This Row],[Buildings]],250,0.75*TblConstr[[#This Row],[Land]])-250) * 0.35+87.5,0)</f>
        <v>210</v>
      </c>
      <c r="AX66" s="200"/>
      <c r="AY66" s="243" cm="1">
        <f t="array" aca="1" ref="AY66" ca="1">IF(TblConstr[[#This Row],[Hour]:[Hour]]&gt;12,OFFSET(TblConstr[[#This Row],[Hom]],-12,0),0)+OFFSET(TblConstr[[#This Row],[Tot Hom]],-1,0)-TblConstr[[#This Row],[Dest Hom]]</f>
        <v>48</v>
      </c>
      <c r="AZ66" s="244" cm="1">
        <f t="array" aca="1" ref="AZ66" ca="1">IF(TblConstr[[#This Row],[Hour]:[Hour]]&gt;12,OFFSET(TblConstr[[#This Row],[Alc]],-12,0),0)+OFFSET(TblConstr[[#This Row],[Tot Alc]],-1,0)-TblConstr[[#This Row],[Dest Alc]]</f>
        <v>264</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108</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30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45</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15</v>
      </c>
      <c r="BM66" s="488" cm="1">
        <f t="array" aca="1" ref="BM66" ca="1">IF(TblConstr[[#This Row],[Hour]:[Hour]]&gt;12,OFFSET(TblConstr[[#This Row],[Tem]],-12,0),0)+OFFSET(TblConstr[[#This Row],[Tot Tem]],-1,0)-TblConstr[[#This Row],[Dest Tem]]</f>
        <v>20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20</v>
      </c>
      <c r="BR66" s="184"/>
      <c r="BS66" s="200"/>
      <c r="BT66" s="113">
        <f ca="1">TblConstr[[#This Row],[Land]]</f>
        <v>600</v>
      </c>
      <c r="BU66" s="205">
        <f ca="1">TblImps[[#This Row],[Time]]</f>
        <v>44407.333333333183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402</v>
      </c>
      <c r="DA66" s="113">
        <f t="shared" ca="1" si="13"/>
        <v>20</v>
      </c>
      <c r="DB66" s="49">
        <f t="shared" ca="1" si="14"/>
        <v>30</v>
      </c>
      <c r="DC66" s="113">
        <f t="shared" ca="1" si="15"/>
        <v>45</v>
      </c>
      <c r="DD66" s="113">
        <f t="shared" ca="1" si="16"/>
        <v>35</v>
      </c>
      <c r="DE66" s="49">
        <f t="shared" ca="1" si="17"/>
        <v>0</v>
      </c>
      <c r="DF66" s="113">
        <f t="shared" ca="1" si="18"/>
        <v>20</v>
      </c>
      <c r="DG66" s="113" cm="1">
        <f t="array" aca="1" ref="DG66" ca="1">INDEX(TblConstr[[Total Plain]:[Total Water]],ROW()-ROW(TblConstr[#Headers]),MATCH("Total "&amp;home_land,TblConstr[[#Headers],[Total Plain]:[Total Water]],0))+TblConstr[[#This Row],[Homes]]</f>
        <v>450</v>
      </c>
      <c r="DH66" s="49">
        <f t="shared" ca="1" si="10"/>
        <v>48</v>
      </c>
      <c r="DI66" s="49">
        <f t="shared" ca="1" si="0"/>
        <v>0</v>
      </c>
      <c r="DJ66" s="49">
        <f t="shared" ca="1" si="1"/>
        <v>0</v>
      </c>
    </row>
    <row r="67" spans="1:114" x14ac:dyDescent="0.2">
      <c r="A67" s="228">
        <f>TblRezone[[#This Row],[Hour]]</f>
        <v>64</v>
      </c>
      <c r="B67" s="229">
        <f ca="1">SUM(TblConstr[[#This Row],[Plain]:[Water]])</f>
        <v>0</v>
      </c>
      <c r="C67" s="230">
        <f ca="1">SUM(TblConstr[[#This Row],[Tot Hom]:[Tot Doc]])</f>
        <v>600</v>
      </c>
      <c r="D67" s="230">
        <f t="shared" si="11"/>
        <v>0</v>
      </c>
      <c r="E67" s="231"/>
      <c r="F67" s="74">
        <f ca="1">TblConstr[[#This Row],[Barren]]+TblConstr[[#This Row],[Buildings]]+TblConstr[[#This Row],[Incoming]]</f>
        <v>600</v>
      </c>
      <c r="G67" s="242">
        <f ca="1">OFFSET(TblConstr[[#This Row],[Plain]],-1,0)+TblConstr[[#This Row],[Ch_Plain]]</f>
        <v>0</v>
      </c>
      <c r="H67" s="236">
        <f ca="1">OFFSET(TblConstr[[#This Row],[Forest]],-1,0)+TblConstr[[#This Row],[Ch_Forest]]</f>
        <v>0</v>
      </c>
      <c r="I67" s="478">
        <f ca="1">OFFSET(TblConstr[[#This Row],[Mountain]],-1,0)+TblConstr[[#This Row],[Ch_Mountain]]</f>
        <v>0</v>
      </c>
      <c r="J67" s="482">
        <f ca="1">OFFSET(TblConstr[[#This Row],[Hill]],-1,0)+TblConstr[[#This Row],[Ch_Hill]]</f>
        <v>0</v>
      </c>
      <c r="K67" s="486">
        <f ca="1">OFFSET(TblConstr[[#This Row],[Swamp]],-1,0)+TblConstr[[#This Row],[Ch_Swamp]]</f>
        <v>0</v>
      </c>
      <c r="L67" s="239">
        <f ca="1">OFFSET(TblConstr[[#This Row],[Cavern]],-1,0)+TblConstr[[#This Row],[Ch_Cavern]]</f>
        <v>0</v>
      </c>
      <c r="M67" s="240">
        <f ca="1">OFFSET(TblConstr[[#This Row],[Water]],-1,0)+TblConstr[[#This Row],[Ch_Water]]</f>
        <v>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44407.374999999847</v>
      </c>
      <c r="AI67" s="234">
        <f ca="1">MIN(25%,(TblConstr[[#This Row],[Tot Fac]]+TblConstr[[#This Row],[Dest Fac]])/(TblConstr[[#This Row],[Land]]-TblExplore[[#This Row],[Land Bonus]]*20))</f>
        <v>7.4999999999999997E-2</v>
      </c>
      <c r="AJ67" s="234">
        <f ca="1">MIN(25%,(TblConstr[[#This Row],[Tot Fac]]+TblConstr[[#This Row],[Dest Fac]])/TblConstr[[#This Row],[Land]])</f>
        <v>7.4999999999999997E-2</v>
      </c>
      <c r="AK67" s="113">
        <f ca="1">TblProd[[#This Row],[Platinum]]</f>
        <v>2686</v>
      </c>
      <c r="AL67" s="113">
        <f ca="1">TblProd[[#This Row],[Lumber]]</f>
        <v>28122</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7" s="113">
        <f ca="1">ROUNDDOWN( MAX(1 - MIN(facs_constr_factor*TblConstr[[#This Row],[Facs -DB]],facs_constr_max) + tech_1_11*TblTech[[#This Row],[11-1]] + tech_6_3_2*TblTech[[#This Row],[6-3]] + tech_5_2_3*TblTech[[#This Row],[5-2]], 1-global_constr_cap) * TblConstr[[#This Row],[RCPA Lumber]],0)</f>
        <v>147</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7" s="113">
        <f ca="1">ROUNDDOWN( MAX(1 - MIN(facs_constr_factor*TblConstr[[#This Row],[Facs DB]],facs_constr_max) + tech_1_11*TblTech[[#This Row],[1-11]] + tech_6_3_2*TblTech[[#This Row],[6-3]] + tech_5_2_3*TblTech[[#This Row],[5-2]], 1-global_constr_cap) * TblConstr[[#This Row],[RCPA Lumber]],0)</f>
        <v>147</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1386</v>
      </c>
      <c r="AW67" s="113">
        <f ca="1">ROUND((MAX(TblConstr[[#This Row],[Buildings]],250,0.75*TblConstr[[#This Row],[Land]])-250) * 0.35+87.5,0)</f>
        <v>210</v>
      </c>
      <c r="AX67" s="200"/>
      <c r="AY67" s="243" cm="1">
        <f t="array" aca="1" ref="AY67" ca="1">IF(TblConstr[[#This Row],[Hour]:[Hour]]&gt;12,OFFSET(TblConstr[[#This Row],[Hom]],-12,0),0)+OFFSET(TblConstr[[#This Row],[Tot Hom]],-1,0)-TblConstr[[#This Row],[Dest Hom]]</f>
        <v>48</v>
      </c>
      <c r="AZ67" s="244" cm="1">
        <f t="array" aca="1" ref="AZ67" ca="1">IF(TblConstr[[#This Row],[Hour]:[Hour]]&gt;12,OFFSET(TblConstr[[#This Row],[Alc]],-12,0),0)+OFFSET(TblConstr[[#This Row],[Tot Alc]],-1,0)-TblConstr[[#This Row],[Dest Alc]]</f>
        <v>264</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108</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30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45</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15</v>
      </c>
      <c r="BM67" s="488" cm="1">
        <f t="array" aca="1" ref="BM67" ca="1">IF(TblConstr[[#This Row],[Hour]:[Hour]]&gt;12,OFFSET(TblConstr[[#This Row],[Tem]],-12,0),0)+OFFSET(TblConstr[[#This Row],[Tot Tem]],-1,0)-TblConstr[[#This Row],[Dest Tem]]</f>
        <v>20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20</v>
      </c>
      <c r="BR67" s="184"/>
      <c r="BS67" s="200"/>
      <c r="BT67" s="113">
        <f ca="1">TblConstr[[#This Row],[Land]]</f>
        <v>600</v>
      </c>
      <c r="BU67" s="205">
        <f ca="1">TblImps[[#This Row],[Time]]</f>
        <v>44407.374999999847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402</v>
      </c>
      <c r="DA67" s="113">
        <f t="shared" ca="1" si="13"/>
        <v>20</v>
      </c>
      <c r="DB67" s="49">
        <f t="shared" ca="1" si="14"/>
        <v>30</v>
      </c>
      <c r="DC67" s="113">
        <f t="shared" ca="1" si="15"/>
        <v>45</v>
      </c>
      <c r="DD67" s="113">
        <f t="shared" ca="1" si="16"/>
        <v>35</v>
      </c>
      <c r="DE67" s="49">
        <f t="shared" ca="1" si="17"/>
        <v>0</v>
      </c>
      <c r="DF67" s="113">
        <f t="shared" ca="1" si="18"/>
        <v>20</v>
      </c>
      <c r="DG67" s="113" cm="1">
        <f t="array" aca="1" ref="DG67" ca="1">INDEX(TblConstr[[Total Plain]:[Total Water]],ROW()-ROW(TblConstr[#Headers]),MATCH("Total "&amp;home_land,TblConstr[[#Headers],[Total Plain]:[Total Water]],0))+TblConstr[[#This Row],[Homes]]</f>
        <v>450</v>
      </c>
      <c r="DH67" s="49">
        <f t="shared" ca="1" si="10"/>
        <v>48</v>
      </c>
      <c r="DI67" s="49">
        <f t="shared" ca="1" si="0"/>
        <v>0</v>
      </c>
      <c r="DJ67" s="49">
        <f t="shared" ca="1" si="1"/>
        <v>0</v>
      </c>
    </row>
    <row r="68" spans="1:114" x14ac:dyDescent="0.2">
      <c r="A68" s="228">
        <f>TblRezone[[#This Row],[Hour]]</f>
        <v>65</v>
      </c>
      <c r="B68" s="229">
        <f ca="1">SUM(TblConstr[[#This Row],[Plain]:[Water]])</f>
        <v>0</v>
      </c>
      <c r="C68" s="230">
        <f ca="1">SUM(TblConstr[[#This Row],[Tot Hom]:[Tot Doc]])</f>
        <v>600</v>
      </c>
      <c r="D68" s="230">
        <f t="shared" si="11"/>
        <v>0</v>
      </c>
      <c r="E68" s="231"/>
      <c r="F68" s="74">
        <f ca="1">TblConstr[[#This Row],[Barren]]+TblConstr[[#This Row],[Buildings]]+TblConstr[[#This Row],[Incoming]]</f>
        <v>600</v>
      </c>
      <c r="G68" s="242">
        <f ca="1">OFFSET(TblConstr[[#This Row],[Plain]],-1,0)+TblConstr[[#This Row],[Ch_Plain]]</f>
        <v>0</v>
      </c>
      <c r="H68" s="236">
        <f ca="1">OFFSET(TblConstr[[#This Row],[Forest]],-1,0)+TblConstr[[#This Row],[Ch_Forest]]</f>
        <v>0</v>
      </c>
      <c r="I68" s="478">
        <f ca="1">OFFSET(TblConstr[[#This Row],[Mountain]],-1,0)+TblConstr[[#This Row],[Ch_Mountain]]</f>
        <v>0</v>
      </c>
      <c r="J68" s="482">
        <f ca="1">OFFSET(TblConstr[[#This Row],[Hill]],-1,0)+TblConstr[[#This Row],[Ch_Hill]]</f>
        <v>0</v>
      </c>
      <c r="K68" s="486">
        <f ca="1">OFFSET(TblConstr[[#This Row],[Swamp]],-1,0)+TblConstr[[#This Row],[Ch_Swamp]]</f>
        <v>0</v>
      </c>
      <c r="L68" s="239">
        <f ca="1">OFFSET(TblConstr[[#This Row],[Cavern]],-1,0)+TblConstr[[#This Row],[Ch_Cavern]]</f>
        <v>0</v>
      </c>
      <c r="M68" s="240">
        <f ca="1">OFFSET(TblConstr[[#This Row],[Water]],-1,0)+TblConstr[[#This Row],[Ch_Water]]</f>
        <v>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44407.416666666511</v>
      </c>
      <c r="AI68" s="234">
        <f ca="1">MIN(25%,(TblConstr[[#This Row],[Tot Fac]]+TblConstr[[#This Row],[Dest Fac]])/(TblConstr[[#This Row],[Land]]-TblExplore[[#This Row],[Land Bonus]]*20))</f>
        <v>7.4999999999999997E-2</v>
      </c>
      <c r="AJ68" s="234">
        <f ca="1">MIN(25%,(TblConstr[[#This Row],[Tot Fac]]+TblConstr[[#This Row],[Dest Fac]])/TblConstr[[#This Row],[Land]])</f>
        <v>7.4999999999999997E-2</v>
      </c>
      <c r="AK68" s="113">
        <f ca="1">TblProd[[#This Row],[Platinum]]</f>
        <v>39757</v>
      </c>
      <c r="AL68" s="113">
        <f ca="1">TblProd[[#This Row],[Lumber]]</f>
        <v>28841</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8" s="113">
        <f ca="1">ROUNDDOWN( MAX(1 - MIN(facs_constr_factor*TblConstr[[#This Row],[Facs -DB]],facs_constr_max) + tech_1_11*TblTech[[#This Row],[11-1]] + tech_6_3_2*TblTech[[#This Row],[6-3]] + tech_5_2_3*TblTech[[#This Row],[5-2]], 1-global_constr_cap) * TblConstr[[#This Row],[RCPA Lumber]],0)</f>
        <v>147</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8" s="113">
        <f ca="1">ROUNDDOWN( MAX(1 - MIN(facs_constr_factor*TblConstr[[#This Row],[Facs DB]],facs_constr_max) + tech_1_11*TblTech[[#This Row],[1-11]] + tech_6_3_2*TblTech[[#This Row],[6-3]] + tech_5_2_3*TblTech[[#This Row],[5-2]], 1-global_constr_cap) * TblConstr[[#This Row],[RCPA Lumber]],0)</f>
        <v>147</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1386</v>
      </c>
      <c r="AW68" s="113">
        <f ca="1">ROUND((MAX(TblConstr[[#This Row],[Buildings]],250,0.75*TblConstr[[#This Row],[Land]])-250) * 0.35+87.5,0)</f>
        <v>210</v>
      </c>
      <c r="AX68" s="200"/>
      <c r="AY68" s="243" cm="1">
        <f t="array" aca="1" ref="AY68" ca="1">IF(TblConstr[[#This Row],[Hour]:[Hour]]&gt;12,OFFSET(TblConstr[[#This Row],[Hom]],-12,0),0)+OFFSET(TblConstr[[#This Row],[Tot Hom]],-1,0)-TblConstr[[#This Row],[Dest Hom]]</f>
        <v>48</v>
      </c>
      <c r="AZ68" s="244" cm="1">
        <f t="array" aca="1" ref="AZ68" ca="1">IF(TblConstr[[#This Row],[Hour]:[Hour]]&gt;12,OFFSET(TblConstr[[#This Row],[Alc]],-12,0),0)+OFFSET(TblConstr[[#This Row],[Tot Alc]],-1,0)-TblConstr[[#This Row],[Dest Alc]]</f>
        <v>264</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108</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30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45</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15</v>
      </c>
      <c r="BM68" s="488" cm="1">
        <f t="array" aca="1" ref="BM68" ca="1">IF(TblConstr[[#This Row],[Hour]:[Hour]]&gt;12,OFFSET(TblConstr[[#This Row],[Tem]],-12,0),0)+OFFSET(TblConstr[[#This Row],[Tot Tem]],-1,0)-TblConstr[[#This Row],[Dest Tem]]</f>
        <v>20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20</v>
      </c>
      <c r="BR68" s="184"/>
      <c r="BS68" s="200"/>
      <c r="BT68" s="113">
        <f ca="1">TblConstr[[#This Row],[Land]]</f>
        <v>600</v>
      </c>
      <c r="BU68" s="205">
        <f ca="1">TblImps[[#This Row],[Time]]</f>
        <v>44407.416666666511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402</v>
      </c>
      <c r="DA68" s="113">
        <f t="shared" ca="1" si="13"/>
        <v>20</v>
      </c>
      <c r="DB68" s="49">
        <f t="shared" ca="1" si="14"/>
        <v>30</v>
      </c>
      <c r="DC68" s="113">
        <f t="shared" ca="1" si="15"/>
        <v>45</v>
      </c>
      <c r="DD68" s="113">
        <f t="shared" ca="1" si="16"/>
        <v>35</v>
      </c>
      <c r="DE68" s="49">
        <f t="shared" ca="1" si="17"/>
        <v>0</v>
      </c>
      <c r="DF68" s="113">
        <f t="shared" ca="1" si="18"/>
        <v>20</v>
      </c>
      <c r="DG68" s="113" cm="1">
        <f t="array" aca="1" ref="DG68" ca="1">INDEX(TblConstr[[Total Plain]:[Total Water]],ROW()-ROW(TblConstr[#Headers]),MATCH("Total "&amp;home_land,TblConstr[[#Headers],[Total Plain]:[Total Water]],0))+TblConstr[[#This Row],[Homes]]</f>
        <v>450</v>
      </c>
      <c r="DH68" s="49">
        <f t="shared" ca="1" si="10"/>
        <v>48</v>
      </c>
      <c r="DI68" s="49">
        <f t="shared" ca="1" si="0"/>
        <v>0</v>
      </c>
      <c r="DJ68" s="49">
        <f t="shared" ca="1" si="1"/>
        <v>0</v>
      </c>
    </row>
    <row r="69" spans="1:114" x14ac:dyDescent="0.2">
      <c r="A69" s="228">
        <f>TblRezone[[#This Row],[Hour]]</f>
        <v>66</v>
      </c>
      <c r="B69" s="229">
        <f ca="1">SUM(TblConstr[[#This Row],[Plain]:[Water]])</f>
        <v>0</v>
      </c>
      <c r="C69" s="230">
        <f ca="1">SUM(TblConstr[[#This Row],[Tot Hom]:[Tot Doc]])</f>
        <v>600</v>
      </c>
      <c r="D69" s="230">
        <f t="shared" si="11"/>
        <v>0</v>
      </c>
      <c r="E69" s="231"/>
      <c r="F69" s="74">
        <f ca="1">TblConstr[[#This Row],[Barren]]+TblConstr[[#This Row],[Buildings]]+TblConstr[[#This Row],[Incoming]]</f>
        <v>600</v>
      </c>
      <c r="G69" s="242">
        <f ca="1">OFFSET(TblConstr[[#This Row],[Plain]],-1,0)+TblConstr[[#This Row],[Ch_Plain]]</f>
        <v>0</v>
      </c>
      <c r="H69" s="236">
        <f ca="1">OFFSET(TblConstr[[#This Row],[Forest]],-1,0)+TblConstr[[#This Row],[Ch_Forest]]</f>
        <v>0</v>
      </c>
      <c r="I69" s="478">
        <f ca="1">OFFSET(TblConstr[[#This Row],[Mountain]],-1,0)+TblConstr[[#This Row],[Ch_Mountain]]</f>
        <v>0</v>
      </c>
      <c r="J69" s="482">
        <f ca="1">OFFSET(TblConstr[[#This Row],[Hill]],-1,0)+TblConstr[[#This Row],[Ch_Hill]]</f>
        <v>0</v>
      </c>
      <c r="K69" s="486">
        <f ca="1">OFFSET(TblConstr[[#This Row],[Swamp]],-1,0)+TblConstr[[#This Row],[Ch_Swamp]]</f>
        <v>0</v>
      </c>
      <c r="L69" s="239">
        <f ca="1">OFFSET(TblConstr[[#This Row],[Cavern]],-1,0)+TblConstr[[#This Row],[Ch_Cavern]]</f>
        <v>0</v>
      </c>
      <c r="M69" s="240">
        <f ca="1">OFFSET(TblConstr[[#This Row],[Water]],-1,0)+TblConstr[[#This Row],[Ch_Water]]</f>
        <v>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44407.458333333176</v>
      </c>
      <c r="AI69" s="234">
        <f ca="1">MIN(25%,(TblConstr[[#This Row],[Tot Fac]]+TblConstr[[#This Row],[Dest Fac]])/(TblConstr[[#This Row],[Land]]-TblExplore[[#This Row],[Land Bonus]]*20))</f>
        <v>7.4999999999999997E-2</v>
      </c>
      <c r="AJ69" s="234">
        <f ca="1">MIN(25%,(TblConstr[[#This Row],[Tot Fac]]+TblConstr[[#This Row],[Dest Fac]])/TblConstr[[#This Row],[Land]])</f>
        <v>7.4999999999999997E-2</v>
      </c>
      <c r="AK69" s="113">
        <f ca="1">TblProd[[#This Row],[Platinum]]</f>
        <v>76587</v>
      </c>
      <c r="AL69" s="113">
        <f ca="1">TblProd[[#This Row],[Lumber]]</f>
        <v>29553</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9" s="113">
        <f ca="1">ROUNDDOWN( MAX(1 - MIN(facs_constr_factor*TblConstr[[#This Row],[Facs -DB]],facs_constr_max) + tech_1_11*TblTech[[#This Row],[11-1]] + tech_6_3_2*TblTech[[#This Row],[6-3]] + tech_5_2_3*TblTech[[#This Row],[5-2]], 1-global_constr_cap) * TblConstr[[#This Row],[RCPA Lumber]],0)</f>
        <v>147</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9" s="113">
        <f ca="1">ROUNDDOWN( MAX(1 - MIN(facs_constr_factor*TblConstr[[#This Row],[Facs DB]],facs_constr_max) + tech_1_11*TblTech[[#This Row],[1-11]] + tech_6_3_2*TblTech[[#This Row],[6-3]] + tech_5_2_3*TblTech[[#This Row],[5-2]], 1-global_constr_cap) * TblConstr[[#This Row],[RCPA Lumber]],0)</f>
        <v>147</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1386</v>
      </c>
      <c r="AW69" s="113">
        <f ca="1">ROUND((MAX(TblConstr[[#This Row],[Buildings]],250,0.75*TblConstr[[#This Row],[Land]])-250) * 0.35+87.5,0)</f>
        <v>210</v>
      </c>
      <c r="AX69" s="200"/>
      <c r="AY69" s="243" cm="1">
        <f t="array" aca="1" ref="AY69" ca="1">IF(TblConstr[[#This Row],[Hour]:[Hour]]&gt;12,OFFSET(TblConstr[[#This Row],[Hom]],-12,0),0)+OFFSET(TblConstr[[#This Row],[Tot Hom]],-1,0)-TblConstr[[#This Row],[Dest Hom]]</f>
        <v>48</v>
      </c>
      <c r="AZ69" s="244" cm="1">
        <f t="array" aca="1" ref="AZ69" ca="1">IF(TblConstr[[#This Row],[Hour]:[Hour]]&gt;12,OFFSET(TblConstr[[#This Row],[Alc]],-12,0),0)+OFFSET(TblConstr[[#This Row],[Tot Alc]],-1,0)-TblConstr[[#This Row],[Dest Alc]]</f>
        <v>264</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108</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30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45</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15</v>
      </c>
      <c r="BM69" s="488" cm="1">
        <f t="array" aca="1" ref="BM69" ca="1">IF(TblConstr[[#This Row],[Hour]:[Hour]]&gt;12,OFFSET(TblConstr[[#This Row],[Tem]],-12,0),0)+OFFSET(TblConstr[[#This Row],[Tot Tem]],-1,0)-TblConstr[[#This Row],[Dest Tem]]</f>
        <v>20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20</v>
      </c>
      <c r="BR69" s="184"/>
      <c r="BS69" s="200"/>
      <c r="BT69" s="113">
        <f ca="1">TblConstr[[#This Row],[Land]]</f>
        <v>600</v>
      </c>
      <c r="BU69" s="205">
        <f ca="1">TblImps[[#This Row],[Time]]</f>
        <v>44407.458333333176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402</v>
      </c>
      <c r="DA69" s="113">
        <f t="shared" ca="1" si="13"/>
        <v>20</v>
      </c>
      <c r="DB69" s="49">
        <f t="shared" ca="1" si="14"/>
        <v>30</v>
      </c>
      <c r="DC69" s="113">
        <f t="shared" ca="1" si="15"/>
        <v>45</v>
      </c>
      <c r="DD69" s="113">
        <f t="shared" ca="1" si="16"/>
        <v>35</v>
      </c>
      <c r="DE69" s="49">
        <f t="shared" ca="1" si="17"/>
        <v>0</v>
      </c>
      <c r="DF69" s="113">
        <f t="shared" ca="1" si="18"/>
        <v>20</v>
      </c>
      <c r="DG69" s="113" cm="1">
        <f t="array" aca="1" ref="DG69" ca="1">INDEX(TblConstr[[Total Plain]:[Total Water]],ROW()-ROW(TblConstr[#Headers]),MATCH("Total "&amp;home_land,TblConstr[[#Headers],[Total Plain]:[Total Water]],0))+TblConstr[[#This Row],[Homes]]</f>
        <v>450</v>
      </c>
      <c r="DH69" s="49">
        <f t="shared" ca="1" si="10"/>
        <v>48</v>
      </c>
      <c r="DI69" s="49">
        <f t="shared" ca="1" si="0"/>
        <v>0</v>
      </c>
      <c r="DJ69" s="49">
        <f t="shared" ca="1" si="1"/>
        <v>0</v>
      </c>
    </row>
    <row r="70" spans="1:114" x14ac:dyDescent="0.2">
      <c r="A70" s="228">
        <f>TblRezone[[#This Row],[Hour]]</f>
        <v>67</v>
      </c>
      <c r="B70" s="229">
        <f ca="1">SUM(TblConstr[[#This Row],[Plain]:[Water]])</f>
        <v>0</v>
      </c>
      <c r="C70" s="230">
        <f ca="1">SUM(TblConstr[[#This Row],[Tot Hom]:[Tot Doc]])</f>
        <v>600</v>
      </c>
      <c r="D70" s="230">
        <f t="shared" si="11"/>
        <v>0</v>
      </c>
      <c r="E70" s="231"/>
      <c r="F70" s="74">
        <f ca="1">TblConstr[[#This Row],[Barren]]+TblConstr[[#This Row],[Buildings]]+TblConstr[[#This Row],[Incoming]]</f>
        <v>600</v>
      </c>
      <c r="G70" s="242">
        <f ca="1">OFFSET(TblConstr[[#This Row],[Plain]],-1,0)+TblConstr[[#This Row],[Ch_Plain]]</f>
        <v>0</v>
      </c>
      <c r="H70" s="236">
        <f ca="1">OFFSET(TblConstr[[#This Row],[Forest]],-1,0)+TblConstr[[#This Row],[Ch_Forest]]</f>
        <v>0</v>
      </c>
      <c r="I70" s="478">
        <f ca="1">OFFSET(TblConstr[[#This Row],[Mountain]],-1,0)+TblConstr[[#This Row],[Ch_Mountain]]</f>
        <v>0</v>
      </c>
      <c r="J70" s="482">
        <f ca="1">OFFSET(TblConstr[[#This Row],[Hill]],-1,0)+TblConstr[[#This Row],[Ch_Hill]]</f>
        <v>0</v>
      </c>
      <c r="K70" s="486">
        <f ca="1">OFFSET(TblConstr[[#This Row],[Swamp]],-1,0)+TblConstr[[#This Row],[Ch_Swamp]]</f>
        <v>0</v>
      </c>
      <c r="L70" s="239">
        <f ca="1">OFFSET(TblConstr[[#This Row],[Cavern]],-1,0)+TblConstr[[#This Row],[Ch_Cavern]]</f>
        <v>0</v>
      </c>
      <c r="M70" s="240">
        <f ca="1">OFFSET(TblConstr[[#This Row],[Water]],-1,0)+TblConstr[[#This Row],[Ch_Water]]</f>
        <v>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44407.49999999984</v>
      </c>
      <c r="AI70" s="234">
        <f ca="1">MIN(25%,(TblConstr[[#This Row],[Tot Fac]]+TblConstr[[#This Row],[Dest Fac]])/(TblConstr[[#This Row],[Land]]-TblExplore[[#This Row],[Land Bonus]]*20))</f>
        <v>7.4999999999999997E-2</v>
      </c>
      <c r="AJ70" s="234">
        <f ca="1">MIN(25%,(TblConstr[[#This Row],[Tot Fac]]+TblConstr[[#This Row],[Dest Fac]])/TblConstr[[#This Row],[Land]])</f>
        <v>7.4999999999999997E-2</v>
      </c>
      <c r="AK70" s="113">
        <f ca="1">TblProd[[#This Row],[Platinum]]</f>
        <v>113180</v>
      </c>
      <c r="AL70" s="113">
        <f ca="1">TblProd[[#This Row],[Lumber]]</f>
        <v>30257</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0" s="113">
        <f ca="1">ROUNDDOWN( MAX(1 - MIN(facs_constr_factor*TblConstr[[#This Row],[Facs -DB]],facs_constr_max) + tech_1_11*TblTech[[#This Row],[11-1]] + tech_6_3_2*TblTech[[#This Row],[6-3]] + tech_5_2_3*TblTech[[#This Row],[5-2]], 1-global_constr_cap) * TblConstr[[#This Row],[RCPA Lumber]],0)</f>
        <v>147</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0" s="113">
        <f ca="1">ROUNDDOWN( MAX(1 - MIN(facs_constr_factor*TblConstr[[#This Row],[Facs DB]],facs_constr_max) + tech_1_11*TblTech[[#This Row],[1-11]] + tech_6_3_2*TblTech[[#This Row],[6-3]] + tech_5_2_3*TblTech[[#This Row],[5-2]], 1-global_constr_cap) * TblConstr[[#This Row],[RCPA Lumber]],0)</f>
        <v>147</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1386</v>
      </c>
      <c r="AW70" s="113">
        <f ca="1">ROUND((MAX(TblConstr[[#This Row],[Buildings]],250,0.75*TblConstr[[#This Row],[Land]])-250) * 0.35+87.5,0)</f>
        <v>210</v>
      </c>
      <c r="AX70" s="200"/>
      <c r="AY70" s="243" cm="1">
        <f t="array" aca="1" ref="AY70" ca="1">IF(TblConstr[[#This Row],[Hour]:[Hour]]&gt;12,OFFSET(TblConstr[[#This Row],[Hom]],-12,0),0)+OFFSET(TblConstr[[#This Row],[Tot Hom]],-1,0)-TblConstr[[#This Row],[Dest Hom]]</f>
        <v>48</v>
      </c>
      <c r="AZ70" s="244" cm="1">
        <f t="array" aca="1" ref="AZ70" ca="1">IF(TblConstr[[#This Row],[Hour]:[Hour]]&gt;12,OFFSET(TblConstr[[#This Row],[Alc]],-12,0),0)+OFFSET(TblConstr[[#This Row],[Tot Alc]],-1,0)-TblConstr[[#This Row],[Dest Alc]]</f>
        <v>264</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108</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30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45</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15</v>
      </c>
      <c r="BM70" s="488" cm="1">
        <f t="array" aca="1" ref="BM70" ca="1">IF(TblConstr[[#This Row],[Hour]:[Hour]]&gt;12,OFFSET(TblConstr[[#This Row],[Tem]],-12,0),0)+OFFSET(TblConstr[[#This Row],[Tot Tem]],-1,0)-TblConstr[[#This Row],[Dest Tem]]</f>
        <v>20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20</v>
      </c>
      <c r="BR70" s="184"/>
      <c r="BS70" s="200"/>
      <c r="BT70" s="113">
        <f ca="1">TblConstr[[#This Row],[Land]]</f>
        <v>600</v>
      </c>
      <c r="BU70" s="205">
        <f ca="1">TblImps[[#This Row],[Time]]</f>
        <v>44407.49999999984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402</v>
      </c>
      <c r="DA70" s="113">
        <f t="shared" ca="1" si="13"/>
        <v>20</v>
      </c>
      <c r="DB70" s="49">
        <f t="shared" ca="1" si="14"/>
        <v>30</v>
      </c>
      <c r="DC70" s="113">
        <f t="shared" ca="1" si="15"/>
        <v>45</v>
      </c>
      <c r="DD70" s="113">
        <f t="shared" ca="1" si="16"/>
        <v>35</v>
      </c>
      <c r="DE70" s="49">
        <f t="shared" ca="1" si="17"/>
        <v>0</v>
      </c>
      <c r="DF70" s="113">
        <f t="shared" ca="1" si="18"/>
        <v>20</v>
      </c>
      <c r="DG70" s="113" cm="1">
        <f t="array" aca="1" ref="DG70" ca="1">INDEX(TblConstr[[Total Plain]:[Total Water]],ROW()-ROW(TblConstr[#Headers]),MATCH("Total "&amp;home_land,TblConstr[[#Headers],[Total Plain]:[Total Water]],0))+TblConstr[[#This Row],[Homes]]</f>
        <v>450</v>
      </c>
      <c r="DH70" s="49">
        <f t="shared" ca="1" si="10"/>
        <v>48</v>
      </c>
      <c r="DI70" s="49">
        <f t="shared" ref="DI70:DI133" ca="1" si="19">MAX(BA70-BA69,0)</f>
        <v>0</v>
      </c>
      <c r="DJ70" s="49">
        <f t="shared" ref="DJ70:DJ133" ca="1" si="20">MAX(BQ70-BQ69,0)</f>
        <v>0</v>
      </c>
    </row>
    <row r="71" spans="1:114" x14ac:dyDescent="0.2">
      <c r="A71" s="228">
        <f>TblRezone[[#This Row],[Hour]]</f>
        <v>68</v>
      </c>
      <c r="B71" s="229">
        <f ca="1">SUM(TblConstr[[#This Row],[Plain]:[Water]])</f>
        <v>0</v>
      </c>
      <c r="C71" s="230">
        <f ca="1">SUM(TblConstr[[#This Row],[Tot Hom]:[Tot Doc]])</f>
        <v>600</v>
      </c>
      <c r="D71" s="230">
        <f t="shared" si="11"/>
        <v>0</v>
      </c>
      <c r="E71" s="231"/>
      <c r="F71" s="74">
        <f ca="1">TblConstr[[#This Row],[Barren]]+TblConstr[[#This Row],[Buildings]]+TblConstr[[#This Row],[Incoming]]</f>
        <v>600</v>
      </c>
      <c r="G71" s="242">
        <f ca="1">OFFSET(TblConstr[[#This Row],[Plain]],-1,0)+TblConstr[[#This Row],[Ch_Plain]]</f>
        <v>0</v>
      </c>
      <c r="H71" s="236">
        <f ca="1">OFFSET(TblConstr[[#This Row],[Forest]],-1,0)+TblConstr[[#This Row],[Ch_Forest]]</f>
        <v>0</v>
      </c>
      <c r="I71" s="478">
        <f ca="1">OFFSET(TblConstr[[#This Row],[Mountain]],-1,0)+TblConstr[[#This Row],[Ch_Mountain]]</f>
        <v>0</v>
      </c>
      <c r="J71" s="482">
        <f ca="1">OFFSET(TblConstr[[#This Row],[Hill]],-1,0)+TblConstr[[#This Row],[Ch_Hill]]</f>
        <v>0</v>
      </c>
      <c r="K71" s="486">
        <f ca="1">OFFSET(TblConstr[[#This Row],[Swamp]],-1,0)+TblConstr[[#This Row],[Ch_Swamp]]</f>
        <v>0</v>
      </c>
      <c r="L71" s="239">
        <f ca="1">OFFSET(TblConstr[[#This Row],[Cavern]],-1,0)+TblConstr[[#This Row],[Ch_Cavern]]</f>
        <v>0</v>
      </c>
      <c r="M71" s="240">
        <f ca="1">OFFSET(TblConstr[[#This Row],[Water]],-1,0)+TblConstr[[#This Row],[Ch_Water]]</f>
        <v>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44407.541666666504</v>
      </c>
      <c r="AI71" s="234">
        <f ca="1">MIN(25%,(TblConstr[[#This Row],[Tot Fac]]+TblConstr[[#This Row],[Dest Fac]])/(TblConstr[[#This Row],[Land]]-TblExplore[[#This Row],[Land Bonus]]*20))</f>
        <v>7.4999999999999997E-2</v>
      </c>
      <c r="AJ71" s="234">
        <f ca="1">MIN(25%,(TblConstr[[#This Row],[Tot Fac]]+TblConstr[[#This Row],[Dest Fac]])/TblConstr[[#This Row],[Land]])</f>
        <v>7.4999999999999997E-2</v>
      </c>
      <c r="AK71" s="113">
        <f ca="1">TblProd[[#This Row],[Platinum]]</f>
        <v>149538</v>
      </c>
      <c r="AL71" s="113">
        <f ca="1">TblProd[[#This Row],[Lumber]]</f>
        <v>30954</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1" s="113">
        <f ca="1">ROUNDDOWN( MAX(1 - MIN(facs_constr_factor*TblConstr[[#This Row],[Facs -DB]],facs_constr_max) + tech_1_11*TblTech[[#This Row],[11-1]] + tech_6_3_2*TblTech[[#This Row],[6-3]] + tech_5_2_3*TblTech[[#This Row],[5-2]], 1-global_constr_cap) * TblConstr[[#This Row],[RCPA Lumber]],0)</f>
        <v>147</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1" s="113">
        <f ca="1">ROUNDDOWN( MAX(1 - MIN(facs_constr_factor*TblConstr[[#This Row],[Facs DB]],facs_constr_max) + tech_1_11*TblTech[[#This Row],[1-11]] + tech_6_3_2*TblTech[[#This Row],[6-3]] + tech_5_2_3*TblTech[[#This Row],[5-2]], 1-global_constr_cap) * TblConstr[[#This Row],[RCPA Lumber]],0)</f>
        <v>147</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1386</v>
      </c>
      <c r="AW71" s="113">
        <f ca="1">ROUND((MAX(TblConstr[[#This Row],[Buildings]],250,0.75*TblConstr[[#This Row],[Land]])-250) * 0.35+87.5,0)</f>
        <v>210</v>
      </c>
      <c r="AX71" s="200"/>
      <c r="AY71" s="243" cm="1">
        <f t="array" aca="1" ref="AY71" ca="1">IF(TblConstr[[#This Row],[Hour]:[Hour]]&gt;12,OFFSET(TblConstr[[#This Row],[Hom]],-12,0),0)+OFFSET(TblConstr[[#This Row],[Tot Hom]],-1,0)-TblConstr[[#This Row],[Dest Hom]]</f>
        <v>48</v>
      </c>
      <c r="AZ71" s="244" cm="1">
        <f t="array" aca="1" ref="AZ71" ca="1">IF(TblConstr[[#This Row],[Hour]:[Hour]]&gt;12,OFFSET(TblConstr[[#This Row],[Alc]],-12,0),0)+OFFSET(TblConstr[[#This Row],[Tot Alc]],-1,0)-TblConstr[[#This Row],[Dest Alc]]</f>
        <v>264</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108</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30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45</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15</v>
      </c>
      <c r="BM71" s="488" cm="1">
        <f t="array" aca="1" ref="BM71" ca="1">IF(TblConstr[[#This Row],[Hour]:[Hour]]&gt;12,OFFSET(TblConstr[[#This Row],[Tem]],-12,0),0)+OFFSET(TblConstr[[#This Row],[Tot Tem]],-1,0)-TblConstr[[#This Row],[Dest Tem]]</f>
        <v>20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20</v>
      </c>
      <c r="BR71" s="184"/>
      <c r="BS71" s="200"/>
      <c r="BT71" s="113">
        <f ca="1">TblConstr[[#This Row],[Land]]</f>
        <v>600</v>
      </c>
      <c r="BU71" s="205">
        <f ca="1">TblImps[[#This Row],[Time]]</f>
        <v>44407.541666666504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402</v>
      </c>
      <c r="DA71" s="113">
        <f t="shared" ca="1" si="13"/>
        <v>20</v>
      </c>
      <c r="DB71" s="49">
        <f t="shared" ca="1" si="14"/>
        <v>30</v>
      </c>
      <c r="DC71" s="113">
        <f t="shared" ca="1" si="15"/>
        <v>45</v>
      </c>
      <c r="DD71" s="113">
        <f t="shared" ca="1" si="16"/>
        <v>35</v>
      </c>
      <c r="DE71" s="49">
        <f t="shared" ca="1" si="17"/>
        <v>0</v>
      </c>
      <c r="DF71" s="113">
        <f t="shared" ca="1" si="18"/>
        <v>20</v>
      </c>
      <c r="DG71" s="113" cm="1">
        <f t="array" aca="1" ref="DG71" ca="1">INDEX(TblConstr[[Total Plain]:[Total Water]],ROW()-ROW(TblConstr[#Headers]),MATCH("Total "&amp;home_land,TblConstr[[#Headers],[Total Plain]:[Total Water]],0))+TblConstr[[#This Row],[Homes]]</f>
        <v>450</v>
      </c>
      <c r="DH71" s="49">
        <f t="shared" ca="1" si="10"/>
        <v>48</v>
      </c>
      <c r="DI71" s="49">
        <f t="shared" ca="1" si="19"/>
        <v>0</v>
      </c>
      <c r="DJ71" s="49">
        <f t="shared" ca="1" si="20"/>
        <v>0</v>
      </c>
    </row>
    <row r="72" spans="1:114" x14ac:dyDescent="0.2">
      <c r="A72" s="228">
        <f>TblRezone[[#This Row],[Hour]]</f>
        <v>69</v>
      </c>
      <c r="B72" s="229">
        <f ca="1">SUM(TblConstr[[#This Row],[Plain]:[Water]])</f>
        <v>0</v>
      </c>
      <c r="C72" s="230">
        <f ca="1">SUM(TblConstr[[#This Row],[Tot Hom]:[Tot Doc]])</f>
        <v>600</v>
      </c>
      <c r="D72" s="230">
        <f t="shared" si="11"/>
        <v>0</v>
      </c>
      <c r="E72" s="231"/>
      <c r="F72" s="74">
        <f ca="1">TblConstr[[#This Row],[Barren]]+TblConstr[[#This Row],[Buildings]]+TblConstr[[#This Row],[Incoming]]</f>
        <v>600</v>
      </c>
      <c r="G72" s="242">
        <f ca="1">OFFSET(TblConstr[[#This Row],[Plain]],-1,0)+TblConstr[[#This Row],[Ch_Plain]]</f>
        <v>0</v>
      </c>
      <c r="H72" s="236">
        <f ca="1">OFFSET(TblConstr[[#This Row],[Forest]],-1,0)+TblConstr[[#This Row],[Ch_Forest]]</f>
        <v>0</v>
      </c>
      <c r="I72" s="478">
        <f ca="1">OFFSET(TblConstr[[#This Row],[Mountain]],-1,0)+TblConstr[[#This Row],[Ch_Mountain]]</f>
        <v>0</v>
      </c>
      <c r="J72" s="482">
        <f ca="1">OFFSET(TblConstr[[#This Row],[Hill]],-1,0)+TblConstr[[#This Row],[Ch_Hill]]</f>
        <v>0</v>
      </c>
      <c r="K72" s="486">
        <f ca="1">OFFSET(TblConstr[[#This Row],[Swamp]],-1,0)+TblConstr[[#This Row],[Ch_Swamp]]</f>
        <v>0</v>
      </c>
      <c r="L72" s="239">
        <f ca="1">OFFSET(TblConstr[[#This Row],[Cavern]],-1,0)+TblConstr[[#This Row],[Ch_Cavern]]</f>
        <v>0</v>
      </c>
      <c r="M72" s="240">
        <f ca="1">OFFSET(TblConstr[[#This Row],[Water]],-1,0)+TblConstr[[#This Row],[Ch_Water]]</f>
        <v>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44407.583333333168</v>
      </c>
      <c r="AI72" s="234">
        <f ca="1">MIN(25%,(TblConstr[[#This Row],[Tot Fac]]+TblConstr[[#This Row],[Dest Fac]])/(TblConstr[[#This Row],[Land]]-TblExplore[[#This Row],[Land Bonus]]*20))</f>
        <v>7.4999999999999997E-2</v>
      </c>
      <c r="AJ72" s="234">
        <f ca="1">MIN(25%,(TblConstr[[#This Row],[Tot Fac]]+TblConstr[[#This Row],[Dest Fac]])/TblConstr[[#This Row],[Land]])</f>
        <v>7.4999999999999997E-2</v>
      </c>
      <c r="AK72" s="113">
        <f ca="1">TblProd[[#This Row],[Platinum]]</f>
        <v>185665</v>
      </c>
      <c r="AL72" s="113">
        <f ca="1">TblProd[[#This Row],[Lumber]]</f>
        <v>31644</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2" s="113">
        <f ca="1">ROUNDDOWN( MAX(1 - MIN(facs_constr_factor*TblConstr[[#This Row],[Facs -DB]],facs_constr_max) + tech_1_11*TblTech[[#This Row],[11-1]] + tech_6_3_2*TblTech[[#This Row],[6-3]] + tech_5_2_3*TblTech[[#This Row],[5-2]], 1-global_constr_cap) * TblConstr[[#This Row],[RCPA Lumber]],0)</f>
        <v>147</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2" s="113">
        <f ca="1">ROUNDDOWN( MAX(1 - MIN(facs_constr_factor*TblConstr[[#This Row],[Facs DB]],facs_constr_max) + tech_1_11*TblTech[[#This Row],[1-11]] + tech_6_3_2*TblTech[[#This Row],[6-3]] + tech_5_2_3*TblTech[[#This Row],[5-2]], 1-global_constr_cap) * TblConstr[[#This Row],[RCPA Lumber]],0)</f>
        <v>147</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1386</v>
      </c>
      <c r="AW72" s="113">
        <f ca="1">ROUND((MAX(TblConstr[[#This Row],[Buildings]],250,0.75*TblConstr[[#This Row],[Land]])-250) * 0.35+87.5,0)</f>
        <v>210</v>
      </c>
      <c r="AX72" s="200"/>
      <c r="AY72" s="243" cm="1">
        <f t="array" aca="1" ref="AY72" ca="1">IF(TblConstr[[#This Row],[Hour]:[Hour]]&gt;12,OFFSET(TblConstr[[#This Row],[Hom]],-12,0),0)+OFFSET(TblConstr[[#This Row],[Tot Hom]],-1,0)-TblConstr[[#This Row],[Dest Hom]]</f>
        <v>48</v>
      </c>
      <c r="AZ72" s="244" cm="1">
        <f t="array" aca="1" ref="AZ72" ca="1">IF(TblConstr[[#This Row],[Hour]:[Hour]]&gt;12,OFFSET(TblConstr[[#This Row],[Alc]],-12,0),0)+OFFSET(TblConstr[[#This Row],[Tot Alc]],-1,0)-TblConstr[[#This Row],[Dest Alc]]</f>
        <v>264</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108</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30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45</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15</v>
      </c>
      <c r="BM72" s="488" cm="1">
        <f t="array" aca="1" ref="BM72" ca="1">IF(TblConstr[[#This Row],[Hour]:[Hour]]&gt;12,OFFSET(TblConstr[[#This Row],[Tem]],-12,0),0)+OFFSET(TblConstr[[#This Row],[Tot Tem]],-1,0)-TblConstr[[#This Row],[Dest Tem]]</f>
        <v>20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20</v>
      </c>
      <c r="BR72" s="184"/>
      <c r="BS72" s="200"/>
      <c r="BT72" s="113">
        <f ca="1">TblConstr[[#This Row],[Land]]</f>
        <v>600</v>
      </c>
      <c r="BU72" s="205">
        <f ca="1">TblImps[[#This Row],[Time]]</f>
        <v>44407.583333333168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402</v>
      </c>
      <c r="DA72" s="113">
        <f t="shared" ca="1" si="13"/>
        <v>20</v>
      </c>
      <c r="DB72" s="49">
        <f t="shared" ca="1" si="14"/>
        <v>30</v>
      </c>
      <c r="DC72" s="113">
        <f t="shared" ca="1" si="15"/>
        <v>45</v>
      </c>
      <c r="DD72" s="113">
        <f t="shared" ca="1" si="16"/>
        <v>35</v>
      </c>
      <c r="DE72" s="49">
        <f t="shared" ca="1" si="17"/>
        <v>0</v>
      </c>
      <c r="DF72" s="113">
        <f t="shared" ca="1" si="18"/>
        <v>20</v>
      </c>
      <c r="DG72" s="113" cm="1">
        <f t="array" aca="1" ref="DG72" ca="1">INDEX(TblConstr[[Total Plain]:[Total Water]],ROW()-ROW(TblConstr[#Headers]),MATCH("Total "&amp;home_land,TblConstr[[#Headers],[Total Plain]:[Total Water]],0))+TblConstr[[#This Row],[Homes]]</f>
        <v>450</v>
      </c>
      <c r="DH72" s="49">
        <f t="shared" ca="1" si="10"/>
        <v>48</v>
      </c>
      <c r="DI72" s="49">
        <f t="shared" ca="1" si="19"/>
        <v>0</v>
      </c>
      <c r="DJ72" s="49">
        <f t="shared" ca="1" si="20"/>
        <v>0</v>
      </c>
    </row>
    <row r="73" spans="1:114" x14ac:dyDescent="0.2">
      <c r="A73" s="228">
        <f>TblRezone[[#This Row],[Hour]]</f>
        <v>70</v>
      </c>
      <c r="B73" s="229">
        <f ca="1">SUM(TblConstr[[#This Row],[Plain]:[Water]])</f>
        <v>0</v>
      </c>
      <c r="C73" s="230">
        <f ca="1">SUM(TblConstr[[#This Row],[Tot Hom]:[Tot Doc]])</f>
        <v>600</v>
      </c>
      <c r="D73" s="230">
        <f t="shared" si="11"/>
        <v>0</v>
      </c>
      <c r="E73" s="231"/>
      <c r="F73" s="74">
        <f ca="1">TblConstr[[#This Row],[Barren]]+TblConstr[[#This Row],[Buildings]]+TblConstr[[#This Row],[Incoming]]</f>
        <v>600</v>
      </c>
      <c r="G73" s="242">
        <f ca="1">OFFSET(TblConstr[[#This Row],[Plain]],-1,0)+TblConstr[[#This Row],[Ch_Plain]]</f>
        <v>0</v>
      </c>
      <c r="H73" s="236">
        <f ca="1">OFFSET(TblConstr[[#This Row],[Forest]],-1,0)+TblConstr[[#This Row],[Ch_Forest]]</f>
        <v>0</v>
      </c>
      <c r="I73" s="478">
        <f ca="1">OFFSET(TblConstr[[#This Row],[Mountain]],-1,0)+TblConstr[[#This Row],[Ch_Mountain]]</f>
        <v>0</v>
      </c>
      <c r="J73" s="482">
        <f ca="1">OFFSET(TblConstr[[#This Row],[Hill]],-1,0)+TblConstr[[#This Row],[Ch_Hill]]</f>
        <v>0</v>
      </c>
      <c r="K73" s="486">
        <f ca="1">OFFSET(TblConstr[[#This Row],[Swamp]],-1,0)+TblConstr[[#This Row],[Ch_Swamp]]</f>
        <v>0</v>
      </c>
      <c r="L73" s="239">
        <f ca="1">OFFSET(TblConstr[[#This Row],[Cavern]],-1,0)+TblConstr[[#This Row],[Ch_Cavern]]</f>
        <v>0</v>
      </c>
      <c r="M73" s="240">
        <f ca="1">OFFSET(TblConstr[[#This Row],[Water]],-1,0)+TblConstr[[#This Row],[Ch_Water]]</f>
        <v>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44407.624999999833</v>
      </c>
      <c r="AI73" s="234">
        <f ca="1">MIN(25%,(TblConstr[[#This Row],[Tot Fac]]+TblConstr[[#This Row],[Dest Fac]])/(TblConstr[[#This Row],[Land]]-TblExplore[[#This Row],[Land Bonus]]*20))</f>
        <v>7.4999999999999997E-2</v>
      </c>
      <c r="AJ73" s="234">
        <f ca="1">MIN(25%,(TblConstr[[#This Row],[Tot Fac]]+TblConstr[[#This Row],[Dest Fac]])/TblConstr[[#This Row],[Land]])</f>
        <v>7.4999999999999997E-2</v>
      </c>
      <c r="AK73" s="113">
        <f ca="1">TblProd[[#This Row],[Platinum]]</f>
        <v>221560</v>
      </c>
      <c r="AL73" s="113">
        <f ca="1">TblProd[[#This Row],[Lumber]]</f>
        <v>32328</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3" s="113">
        <f ca="1">ROUNDDOWN( MAX(1 - MIN(facs_constr_factor*TblConstr[[#This Row],[Facs -DB]],facs_constr_max) + tech_1_11*TblTech[[#This Row],[11-1]] + tech_6_3_2*TblTech[[#This Row],[6-3]] + tech_5_2_3*TblTech[[#This Row],[5-2]], 1-global_constr_cap) * TblConstr[[#This Row],[RCPA Lumber]],0)</f>
        <v>147</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3" s="113">
        <f ca="1">ROUNDDOWN( MAX(1 - MIN(facs_constr_factor*TblConstr[[#This Row],[Facs DB]],facs_constr_max) + tech_1_11*TblTech[[#This Row],[1-11]] + tech_6_3_2*TblTech[[#This Row],[6-3]] + tech_5_2_3*TblTech[[#This Row],[5-2]], 1-global_constr_cap) * TblConstr[[#This Row],[RCPA Lumber]],0)</f>
        <v>147</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1386</v>
      </c>
      <c r="AW73" s="113">
        <f ca="1">ROUND((MAX(TblConstr[[#This Row],[Buildings]],250,0.75*TblConstr[[#This Row],[Land]])-250) * 0.35+87.5,0)</f>
        <v>210</v>
      </c>
      <c r="AX73" s="200"/>
      <c r="AY73" s="243" cm="1">
        <f t="array" aca="1" ref="AY73" ca="1">IF(TblConstr[[#This Row],[Hour]:[Hour]]&gt;12,OFFSET(TblConstr[[#This Row],[Hom]],-12,0),0)+OFFSET(TblConstr[[#This Row],[Tot Hom]],-1,0)-TblConstr[[#This Row],[Dest Hom]]</f>
        <v>48</v>
      </c>
      <c r="AZ73" s="244" cm="1">
        <f t="array" aca="1" ref="AZ73" ca="1">IF(TblConstr[[#This Row],[Hour]:[Hour]]&gt;12,OFFSET(TblConstr[[#This Row],[Alc]],-12,0),0)+OFFSET(TblConstr[[#This Row],[Tot Alc]],-1,0)-TblConstr[[#This Row],[Dest Alc]]</f>
        <v>264</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108</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30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45</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15</v>
      </c>
      <c r="BM73" s="488" cm="1">
        <f t="array" aca="1" ref="BM73" ca="1">IF(TblConstr[[#This Row],[Hour]:[Hour]]&gt;12,OFFSET(TblConstr[[#This Row],[Tem]],-12,0),0)+OFFSET(TblConstr[[#This Row],[Tot Tem]],-1,0)-TblConstr[[#This Row],[Dest Tem]]</f>
        <v>20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20</v>
      </c>
      <c r="BR73" s="184"/>
      <c r="BS73" s="200"/>
      <c r="BT73" s="113">
        <f ca="1">TblConstr[[#This Row],[Land]]</f>
        <v>600</v>
      </c>
      <c r="BU73" s="205">
        <f ca="1">TblImps[[#This Row],[Time]]</f>
        <v>44407.624999999833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402</v>
      </c>
      <c r="DA73" s="113">
        <f t="shared" ca="1" si="13"/>
        <v>20</v>
      </c>
      <c r="DB73" s="49">
        <f t="shared" ca="1" si="14"/>
        <v>30</v>
      </c>
      <c r="DC73" s="113">
        <f t="shared" ca="1" si="15"/>
        <v>45</v>
      </c>
      <c r="DD73" s="113">
        <f t="shared" ca="1" si="16"/>
        <v>35</v>
      </c>
      <c r="DE73" s="49">
        <f t="shared" ca="1" si="17"/>
        <v>0</v>
      </c>
      <c r="DF73" s="113">
        <f t="shared" ca="1" si="18"/>
        <v>20</v>
      </c>
      <c r="DG73" s="113" cm="1">
        <f t="array" aca="1" ref="DG73" ca="1">INDEX(TblConstr[[Total Plain]:[Total Water]],ROW()-ROW(TblConstr[#Headers]),MATCH("Total "&amp;home_land,TblConstr[[#Headers],[Total Plain]:[Total Water]],0))+TblConstr[[#This Row],[Homes]]</f>
        <v>450</v>
      </c>
      <c r="DH73" s="49">
        <f t="shared" ca="1" si="10"/>
        <v>48</v>
      </c>
      <c r="DI73" s="49">
        <f t="shared" ca="1" si="19"/>
        <v>0</v>
      </c>
      <c r="DJ73" s="49">
        <f t="shared" ca="1" si="20"/>
        <v>0</v>
      </c>
    </row>
    <row r="74" spans="1:114" x14ac:dyDescent="0.2">
      <c r="A74" s="228">
        <f>TblRezone[[#This Row],[Hour]]</f>
        <v>71</v>
      </c>
      <c r="B74" s="229">
        <f ca="1">SUM(TblConstr[[#This Row],[Plain]:[Water]])</f>
        <v>0</v>
      </c>
      <c r="C74" s="230">
        <f ca="1">SUM(TblConstr[[#This Row],[Tot Hom]:[Tot Doc]])</f>
        <v>600</v>
      </c>
      <c r="D74" s="230">
        <f t="shared" si="11"/>
        <v>0</v>
      </c>
      <c r="E74" s="231"/>
      <c r="F74" s="74">
        <f ca="1">TblConstr[[#This Row],[Barren]]+TblConstr[[#This Row],[Buildings]]+TblConstr[[#This Row],[Incoming]]</f>
        <v>600</v>
      </c>
      <c r="G74" s="242">
        <f ca="1">OFFSET(TblConstr[[#This Row],[Plain]],-1,0)+TblConstr[[#This Row],[Ch_Plain]]</f>
        <v>0</v>
      </c>
      <c r="H74" s="236">
        <f ca="1">OFFSET(TblConstr[[#This Row],[Forest]],-1,0)+TblConstr[[#This Row],[Ch_Forest]]</f>
        <v>0</v>
      </c>
      <c r="I74" s="478">
        <f ca="1">OFFSET(TblConstr[[#This Row],[Mountain]],-1,0)+TblConstr[[#This Row],[Ch_Mountain]]</f>
        <v>0</v>
      </c>
      <c r="J74" s="482">
        <f ca="1">OFFSET(TblConstr[[#This Row],[Hill]],-1,0)+TblConstr[[#This Row],[Ch_Hill]]</f>
        <v>0</v>
      </c>
      <c r="K74" s="486">
        <f ca="1">OFFSET(TblConstr[[#This Row],[Swamp]],-1,0)+TblConstr[[#This Row],[Ch_Swamp]]</f>
        <v>0</v>
      </c>
      <c r="L74" s="239">
        <f ca="1">OFFSET(TblConstr[[#This Row],[Cavern]],-1,0)+TblConstr[[#This Row],[Ch_Cavern]]</f>
        <v>0</v>
      </c>
      <c r="M74" s="240">
        <f ca="1">OFFSET(TblConstr[[#This Row],[Water]],-1,0)+TblConstr[[#This Row],[Ch_Water]]</f>
        <v>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44407.666666666497</v>
      </c>
      <c r="AI74" s="234">
        <f ca="1">MIN(25%,(TblConstr[[#This Row],[Tot Fac]]+TblConstr[[#This Row],[Dest Fac]])/(TblConstr[[#This Row],[Land]]-TblExplore[[#This Row],[Land Bonus]]*20))</f>
        <v>7.4999999999999997E-2</v>
      </c>
      <c r="AJ74" s="234">
        <f ca="1">MIN(25%,(TblConstr[[#This Row],[Tot Fac]]+TblConstr[[#This Row],[Dest Fac]])/TblConstr[[#This Row],[Land]])</f>
        <v>7.4999999999999997E-2</v>
      </c>
      <c r="AK74" s="113">
        <f ca="1">TblProd[[#This Row],[Platinum]]</f>
        <v>257226</v>
      </c>
      <c r="AL74" s="113">
        <f ca="1">TblProd[[#This Row],[Lumber]]</f>
        <v>33005</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4" s="113">
        <f ca="1">ROUNDDOWN( MAX(1 - MIN(facs_constr_factor*TblConstr[[#This Row],[Facs -DB]],facs_constr_max) + tech_1_11*TblTech[[#This Row],[11-1]] + tech_6_3_2*TblTech[[#This Row],[6-3]] + tech_5_2_3*TblTech[[#This Row],[5-2]], 1-global_constr_cap) * TblConstr[[#This Row],[RCPA Lumber]],0)</f>
        <v>147</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4" s="113">
        <f ca="1">ROUNDDOWN( MAX(1 - MIN(facs_constr_factor*TblConstr[[#This Row],[Facs DB]],facs_constr_max) + tech_1_11*TblTech[[#This Row],[1-11]] + tech_6_3_2*TblTech[[#This Row],[6-3]] + tech_5_2_3*TblTech[[#This Row],[5-2]], 1-global_constr_cap) * TblConstr[[#This Row],[RCPA Lumber]],0)</f>
        <v>147</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1386</v>
      </c>
      <c r="AW74" s="113">
        <f ca="1">ROUND((MAX(TblConstr[[#This Row],[Buildings]],250,0.75*TblConstr[[#This Row],[Land]])-250) * 0.35+87.5,0)</f>
        <v>210</v>
      </c>
      <c r="AX74" s="200"/>
      <c r="AY74" s="243" cm="1">
        <f t="array" aca="1" ref="AY74" ca="1">IF(TblConstr[[#This Row],[Hour]:[Hour]]&gt;12,OFFSET(TblConstr[[#This Row],[Hom]],-12,0),0)+OFFSET(TblConstr[[#This Row],[Tot Hom]],-1,0)-TblConstr[[#This Row],[Dest Hom]]</f>
        <v>48</v>
      </c>
      <c r="AZ74" s="244" cm="1">
        <f t="array" aca="1" ref="AZ74" ca="1">IF(TblConstr[[#This Row],[Hour]:[Hour]]&gt;12,OFFSET(TblConstr[[#This Row],[Alc]],-12,0),0)+OFFSET(TblConstr[[#This Row],[Tot Alc]],-1,0)-TblConstr[[#This Row],[Dest Alc]]</f>
        <v>264</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108</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30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45</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15</v>
      </c>
      <c r="BM74" s="488" cm="1">
        <f t="array" aca="1" ref="BM74" ca="1">IF(TblConstr[[#This Row],[Hour]:[Hour]]&gt;12,OFFSET(TblConstr[[#This Row],[Tem]],-12,0),0)+OFFSET(TblConstr[[#This Row],[Tot Tem]],-1,0)-TblConstr[[#This Row],[Dest Tem]]</f>
        <v>20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20</v>
      </c>
      <c r="BR74" s="184"/>
      <c r="BS74" s="200"/>
      <c r="BT74" s="113">
        <f ca="1">TblConstr[[#This Row],[Land]]</f>
        <v>600</v>
      </c>
      <c r="BU74" s="205">
        <f ca="1">TblImps[[#This Row],[Time]]</f>
        <v>44407.666666666497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402</v>
      </c>
      <c r="DA74" s="113">
        <f t="shared" ca="1" si="13"/>
        <v>20</v>
      </c>
      <c r="DB74" s="49">
        <f t="shared" ca="1" si="14"/>
        <v>30</v>
      </c>
      <c r="DC74" s="113">
        <f t="shared" ca="1" si="15"/>
        <v>45</v>
      </c>
      <c r="DD74" s="113">
        <f t="shared" ca="1" si="16"/>
        <v>35</v>
      </c>
      <c r="DE74" s="49">
        <f t="shared" ca="1" si="17"/>
        <v>0</v>
      </c>
      <c r="DF74" s="113">
        <f t="shared" ca="1" si="18"/>
        <v>20</v>
      </c>
      <c r="DG74" s="113" cm="1">
        <f t="array" aca="1" ref="DG74" ca="1">INDEX(TblConstr[[Total Plain]:[Total Water]],ROW()-ROW(TblConstr[#Headers]),MATCH("Total "&amp;home_land,TblConstr[[#Headers],[Total Plain]:[Total Water]],0))+TblConstr[[#This Row],[Homes]]</f>
        <v>450</v>
      </c>
      <c r="DH74" s="49">
        <f t="shared" ca="1" si="10"/>
        <v>48</v>
      </c>
      <c r="DI74" s="49">
        <f t="shared" ca="1" si="19"/>
        <v>0</v>
      </c>
      <c r="DJ74" s="49">
        <f t="shared" ca="1" si="20"/>
        <v>0</v>
      </c>
    </row>
    <row r="75" spans="1:114" x14ac:dyDescent="0.2">
      <c r="A75" s="228">
        <f>TblRezone[[#This Row],[Hour]]</f>
        <v>72</v>
      </c>
      <c r="B75" s="229">
        <f ca="1">SUM(TblConstr[[#This Row],[Plain]:[Water]])</f>
        <v>0</v>
      </c>
      <c r="C75" s="230">
        <f ca="1">SUM(TblConstr[[#This Row],[Tot Hom]:[Tot Doc]])</f>
        <v>600</v>
      </c>
      <c r="D75" s="230">
        <f t="shared" si="11"/>
        <v>0</v>
      </c>
      <c r="E75" s="231"/>
      <c r="F75" s="74">
        <f ca="1">TblConstr[[#This Row],[Barren]]+TblConstr[[#This Row],[Buildings]]+TblConstr[[#This Row],[Incoming]]</f>
        <v>600</v>
      </c>
      <c r="G75" s="242">
        <f ca="1">OFFSET(TblConstr[[#This Row],[Plain]],-1,0)+TblConstr[[#This Row],[Ch_Plain]]</f>
        <v>0</v>
      </c>
      <c r="H75" s="236">
        <f ca="1">OFFSET(TblConstr[[#This Row],[Forest]],-1,0)+TblConstr[[#This Row],[Ch_Forest]]</f>
        <v>0</v>
      </c>
      <c r="I75" s="478">
        <f ca="1">OFFSET(TblConstr[[#This Row],[Mountain]],-1,0)+TblConstr[[#This Row],[Ch_Mountain]]</f>
        <v>0</v>
      </c>
      <c r="J75" s="482">
        <f ca="1">OFFSET(TblConstr[[#This Row],[Hill]],-1,0)+TblConstr[[#This Row],[Ch_Hill]]</f>
        <v>0</v>
      </c>
      <c r="K75" s="486">
        <f ca="1">OFFSET(TblConstr[[#This Row],[Swamp]],-1,0)+TblConstr[[#This Row],[Ch_Swamp]]</f>
        <v>0</v>
      </c>
      <c r="L75" s="239">
        <f ca="1">OFFSET(TblConstr[[#This Row],[Cavern]],-1,0)+TblConstr[[#This Row],[Ch_Cavern]]</f>
        <v>0</v>
      </c>
      <c r="M75" s="240">
        <f ca="1">OFFSET(TblConstr[[#This Row],[Water]],-1,0)+TblConstr[[#This Row],[Ch_Water]]</f>
        <v>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44407.708333333161</v>
      </c>
      <c r="AI75" s="234">
        <f ca="1">MIN(25%,(TblConstr[[#This Row],[Tot Fac]]+TblConstr[[#This Row],[Dest Fac]])/(TblConstr[[#This Row],[Land]]-TblExplore[[#This Row],[Land Bonus]]*20))</f>
        <v>7.4999999999999997E-2</v>
      </c>
      <c r="AJ75" s="234">
        <f ca="1">MIN(25%,(TblConstr[[#This Row],[Tot Fac]]+TblConstr[[#This Row],[Dest Fac]])/TblConstr[[#This Row],[Land]])</f>
        <v>7.4999999999999997E-2</v>
      </c>
      <c r="AK75" s="113">
        <f ca="1">TblProd[[#This Row],[Platinum]]</f>
        <v>292667</v>
      </c>
      <c r="AL75" s="113">
        <f ca="1">TblProd[[#This Row],[Lumber]]</f>
        <v>33675</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5" s="113">
        <f ca="1">ROUNDDOWN( MAX(1 - MIN(facs_constr_factor*TblConstr[[#This Row],[Facs -DB]],facs_constr_max) + tech_1_11*TblTech[[#This Row],[11-1]] + tech_6_3_2*TblTech[[#This Row],[6-3]] + tech_5_2_3*TblTech[[#This Row],[5-2]], 1-global_constr_cap) * TblConstr[[#This Row],[RCPA Lumber]],0)</f>
        <v>147</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5" s="113">
        <f ca="1">ROUNDDOWN( MAX(1 - MIN(facs_constr_factor*TblConstr[[#This Row],[Facs DB]],facs_constr_max) + tech_1_11*TblTech[[#This Row],[1-11]] + tech_6_3_2*TblTech[[#This Row],[6-3]] + tech_5_2_3*TblTech[[#This Row],[5-2]], 1-global_constr_cap) * TblConstr[[#This Row],[RCPA Lumber]],0)</f>
        <v>147</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1386</v>
      </c>
      <c r="AW75" s="113">
        <f ca="1">ROUND((MAX(TblConstr[[#This Row],[Buildings]],250,0.75*TblConstr[[#This Row],[Land]])-250) * 0.35+87.5,0)</f>
        <v>210</v>
      </c>
      <c r="AX75" s="200"/>
      <c r="AY75" s="243" cm="1">
        <f t="array" aca="1" ref="AY75" ca="1">IF(TblConstr[[#This Row],[Hour]:[Hour]]&gt;12,OFFSET(TblConstr[[#This Row],[Hom]],-12,0),0)+OFFSET(TblConstr[[#This Row],[Tot Hom]],-1,0)-TblConstr[[#This Row],[Dest Hom]]</f>
        <v>48</v>
      </c>
      <c r="AZ75" s="244" cm="1">
        <f t="array" aca="1" ref="AZ75" ca="1">IF(TblConstr[[#This Row],[Hour]:[Hour]]&gt;12,OFFSET(TblConstr[[#This Row],[Alc]],-12,0),0)+OFFSET(TblConstr[[#This Row],[Tot Alc]],-1,0)-TblConstr[[#This Row],[Dest Alc]]</f>
        <v>264</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108</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30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45</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15</v>
      </c>
      <c r="BM75" s="488" cm="1">
        <f t="array" aca="1" ref="BM75" ca="1">IF(TblConstr[[#This Row],[Hour]:[Hour]]&gt;12,OFFSET(TblConstr[[#This Row],[Tem]],-12,0),0)+OFFSET(TblConstr[[#This Row],[Tot Tem]],-1,0)-TblConstr[[#This Row],[Dest Tem]]</f>
        <v>20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20</v>
      </c>
      <c r="BR75" s="184"/>
      <c r="BS75" s="200"/>
      <c r="BT75" s="113">
        <f ca="1">TblConstr[[#This Row],[Land]]</f>
        <v>600</v>
      </c>
      <c r="BU75" s="205">
        <f ca="1">TblImps[[#This Row],[Time]]</f>
        <v>44407.708333333161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402</v>
      </c>
      <c r="DA75" s="113">
        <f t="shared" ca="1" si="13"/>
        <v>20</v>
      </c>
      <c r="DB75" s="49">
        <f t="shared" ca="1" si="14"/>
        <v>30</v>
      </c>
      <c r="DC75" s="113">
        <f t="shared" ca="1" si="15"/>
        <v>45</v>
      </c>
      <c r="DD75" s="113">
        <f t="shared" ca="1" si="16"/>
        <v>35</v>
      </c>
      <c r="DE75" s="49">
        <f t="shared" ca="1" si="17"/>
        <v>0</v>
      </c>
      <c r="DF75" s="113">
        <f t="shared" ca="1" si="18"/>
        <v>20</v>
      </c>
      <c r="DG75" s="113" cm="1">
        <f t="array" aca="1" ref="DG75" ca="1">INDEX(TblConstr[[Total Plain]:[Total Water]],ROW()-ROW(TblConstr[#Headers]),MATCH("Total "&amp;home_land,TblConstr[[#Headers],[Total Plain]:[Total Water]],0))+TblConstr[[#This Row],[Homes]]</f>
        <v>450</v>
      </c>
      <c r="DH75" s="49">
        <f t="shared" ca="1" si="10"/>
        <v>48</v>
      </c>
      <c r="DI75" s="49">
        <f t="shared" ca="1" si="19"/>
        <v>0</v>
      </c>
      <c r="DJ75" s="49">
        <f t="shared" ca="1" si="20"/>
        <v>0</v>
      </c>
    </row>
    <row r="76" spans="1:114" x14ac:dyDescent="0.2">
      <c r="A76" s="248">
        <f>TblRezone[[#This Row],[Hour]]</f>
        <v>73</v>
      </c>
      <c r="B76" s="249">
        <f ca="1">SUM(TblConstr[[#This Row],[Plain]:[Water]])</f>
        <v>0</v>
      </c>
      <c r="C76" s="250">
        <f ca="1">SUM(TblConstr[[#This Row],[Tot Hom]:[Tot Doc]])</f>
        <v>600</v>
      </c>
      <c r="D76" s="250">
        <f t="shared" ref="D76:D131" si="21">SUM(O65:AG76)</f>
        <v>0</v>
      </c>
      <c r="E76" s="251"/>
      <c r="F76" s="252">
        <f ca="1">TblConstr[[#This Row],[Barren]]+TblConstr[[#This Row],[Buildings]]+TblConstr[[#This Row],[Incoming]]</f>
        <v>600</v>
      </c>
      <c r="G76" s="253">
        <f ca="1">OFFSET(TblConstr[[#This Row],[Plain]],-1,0)+TblConstr[[#This Row],[Ch_Plain]]</f>
        <v>0</v>
      </c>
      <c r="H76" s="254">
        <f ca="1">OFFSET(TblConstr[[#This Row],[Forest]],-1,0)+TblConstr[[#This Row],[Ch_Forest]]</f>
        <v>0</v>
      </c>
      <c r="I76" s="479">
        <f ca="1">OFFSET(TblConstr[[#This Row],[Mountain]],-1,0)+TblConstr[[#This Row],[Ch_Mountain]]</f>
        <v>0</v>
      </c>
      <c r="J76" s="483">
        <f ca="1">OFFSET(TblConstr[[#This Row],[Hill]],-1,0)+TblConstr[[#This Row],[Ch_Hill]]</f>
        <v>0</v>
      </c>
      <c r="K76" s="487">
        <f ca="1">OFFSET(TblConstr[[#This Row],[Swamp]],-1,0)+TblConstr[[#This Row],[Ch_Swamp]]</f>
        <v>0</v>
      </c>
      <c r="L76" s="257">
        <f ca="1">OFFSET(TblConstr[[#This Row],[Cavern]],-1,0)+TblConstr[[#This Row],[Ch_Cavern]]</f>
        <v>0</v>
      </c>
      <c r="M76" s="258">
        <f ca="1">OFFSET(TblConstr[[#This Row],[Water]],-1,0)+TblConstr[[#This Row],[Ch_Water]]</f>
        <v>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44407.749999999825</v>
      </c>
      <c r="AI76" s="261">
        <f ca="1">MIN(25%,(TblConstr[[#This Row],[Tot Fac]]+TblConstr[[#This Row],[Dest Fac]])/(TblConstr[[#This Row],[Land]]-TblExplore[[#This Row],[Land Bonus]]*20))</f>
        <v>7.4999999999999997E-2</v>
      </c>
      <c r="AJ76" s="261">
        <f ca="1">MIN(25%,(TblConstr[[#This Row],[Tot Fac]]+TblConstr[[#This Row],[Dest Fac]])/TblConstr[[#This Row],[Land]])</f>
        <v>7.4999999999999997E-2</v>
      </c>
      <c r="AK76" s="262">
        <f ca="1">TblProd[[#This Row],[Platinum]]</f>
        <v>327885</v>
      </c>
      <c r="AL76" s="262">
        <f ca="1">TblProd[[#This Row],[Lumber]]</f>
        <v>34338</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6" s="262">
        <f ca="1">ROUNDDOWN( MAX(1 - MIN(facs_constr_factor*TblConstr[[#This Row],[Facs -DB]],facs_constr_max) + tech_1_11*TblTech[[#This Row],[11-1]] + tech_6_3_2*TblTech[[#This Row],[6-3]] + tech_5_2_3*TblTech[[#This Row],[5-2]], 1-global_constr_cap) * TblConstr[[#This Row],[RCPA Lumber]],0)</f>
        <v>147</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6" s="262">
        <f ca="1">ROUNDDOWN( MAX(1 - MIN(facs_constr_factor*TblConstr[[#This Row],[Facs DB]],facs_constr_max) + tech_1_11*TblTech[[#This Row],[1-11]] + tech_6_3_2*TblTech[[#This Row],[6-3]] + tech_5_2_3*TblTech[[#This Row],[5-2]], 1-global_constr_cap) * TblConstr[[#This Row],[RCPA Lumber]],0)</f>
        <v>147</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1386</v>
      </c>
      <c r="AW76" s="262">
        <f ca="1">ROUND((MAX(TblConstr[[#This Row],[Buildings]],250,0.75*TblConstr[[#This Row],[Land]])-250) * 0.35+87.5,0)</f>
        <v>210</v>
      </c>
      <c r="AX76" s="212"/>
      <c r="AY76" s="264" cm="1">
        <f t="array" aca="1" ref="AY76" ca="1">IF(TblConstr[[#This Row],[Hour]:[Hour]]&gt;12,OFFSET(TblConstr[[#This Row],[Hom]],-12,0),0)+OFFSET(TblConstr[[#This Row],[Tot Hom]],-1,0)-TblConstr[[#This Row],[Dest Hom]]</f>
        <v>48</v>
      </c>
      <c r="AZ76" s="265" cm="1">
        <f t="array" aca="1" ref="AZ76" ca="1">IF(TblConstr[[#This Row],[Hour]:[Hour]]&gt;12,OFFSET(TblConstr[[#This Row],[Alc]],-12,0),0)+OFFSET(TblConstr[[#This Row],[Tot Alc]],-1,0)-TblConstr[[#This Row],[Dest Alc]]</f>
        <v>264</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108</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30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45</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15</v>
      </c>
      <c r="BM76" s="489" cm="1">
        <f t="array" aca="1" ref="BM76" ca="1">IF(TblConstr[[#This Row],[Hour]:[Hour]]&gt;12,OFFSET(TblConstr[[#This Row],[Tem]],-12,0),0)+OFFSET(TblConstr[[#This Row],[Tot Tem]],-1,0)-TblConstr[[#This Row],[Dest Tem]]</f>
        <v>20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20</v>
      </c>
      <c r="BR76" s="192"/>
      <c r="BS76" s="212"/>
      <c r="BT76" s="262">
        <f ca="1">TblConstr[[#This Row],[Land]]</f>
        <v>600</v>
      </c>
      <c r="BU76" s="269">
        <f ca="1">TblImps[[#This Row],[Time]]</f>
        <v>44407.749999999825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402</v>
      </c>
      <c r="DA76" s="262">
        <f t="shared" ca="1" si="13"/>
        <v>20</v>
      </c>
      <c r="DB76" s="263">
        <f t="shared" ca="1" si="14"/>
        <v>30</v>
      </c>
      <c r="DC76" s="262">
        <f t="shared" ca="1" si="15"/>
        <v>45</v>
      </c>
      <c r="DD76" s="262">
        <f t="shared" ca="1" si="16"/>
        <v>35</v>
      </c>
      <c r="DE76" s="263">
        <f t="shared" ca="1" si="17"/>
        <v>0</v>
      </c>
      <c r="DF76" s="262">
        <f t="shared" ca="1" si="18"/>
        <v>20</v>
      </c>
      <c r="DG76" s="262" cm="1">
        <f t="array" aca="1" ref="DG76" ca="1">INDEX(TblConstr[[Total Plain]:[Total Water]],ROW()-ROW(TblConstr[#Headers]),MATCH("Total "&amp;home_land,TblConstr[[#Headers],[Total Plain]:[Total Water]],0))+TblConstr[[#This Row],[Homes]]</f>
        <v>450</v>
      </c>
      <c r="DH76" s="263">
        <f t="shared" ref="DH76:DH131" ca="1" si="22">SUM(O65:O76)+AY76</f>
        <v>48</v>
      </c>
      <c r="DI76" s="263">
        <f t="shared" ca="1" si="19"/>
        <v>0</v>
      </c>
      <c r="DJ76" s="263">
        <f t="shared" ca="1" si="20"/>
        <v>0</v>
      </c>
    </row>
    <row r="77" spans="1:114" x14ac:dyDescent="0.2">
      <c r="A77" s="228">
        <f>TblRezone[[#This Row],[Hour]]</f>
        <v>74</v>
      </c>
      <c r="B77" s="229">
        <f ca="1">SUM(TblConstr[[#This Row],[Plain]:[Water]])</f>
        <v>0</v>
      </c>
      <c r="C77" s="230">
        <f ca="1">SUM(TblConstr[[#This Row],[Tot Hom]:[Tot Doc]])</f>
        <v>600</v>
      </c>
      <c r="D77" s="230">
        <f t="shared" si="21"/>
        <v>0</v>
      </c>
      <c r="E77" s="231"/>
      <c r="F77" s="74">
        <f ca="1">TblConstr[[#This Row],[Barren]]+TblConstr[[#This Row],[Buildings]]+TblConstr[[#This Row],[Incoming]]</f>
        <v>600</v>
      </c>
      <c r="G77" s="242">
        <f ca="1">OFFSET(TblConstr[[#This Row],[Plain]],-1,0)+TblConstr[[#This Row],[Ch_Plain]]</f>
        <v>0</v>
      </c>
      <c r="H77" s="236">
        <f ca="1">OFFSET(TblConstr[[#This Row],[Forest]],-1,0)+TblConstr[[#This Row],[Ch_Forest]]</f>
        <v>0</v>
      </c>
      <c r="I77" s="478">
        <f ca="1">OFFSET(TblConstr[[#This Row],[Mountain]],-1,0)+TblConstr[[#This Row],[Ch_Mountain]]</f>
        <v>0</v>
      </c>
      <c r="J77" s="482">
        <f ca="1">OFFSET(TblConstr[[#This Row],[Hill]],-1,0)+TblConstr[[#This Row],[Ch_Hill]]</f>
        <v>0</v>
      </c>
      <c r="K77" s="486">
        <f ca="1">OFFSET(TblConstr[[#This Row],[Swamp]],-1,0)+TblConstr[[#This Row],[Ch_Swamp]]</f>
        <v>0</v>
      </c>
      <c r="L77" s="239">
        <f ca="1">OFFSET(TblConstr[[#This Row],[Cavern]],-1,0)+TblConstr[[#This Row],[Ch_Cavern]]</f>
        <v>0</v>
      </c>
      <c r="M77" s="240">
        <f ca="1">OFFSET(TblConstr[[#This Row],[Water]],-1,0)+TblConstr[[#This Row],[Ch_Water]]</f>
        <v>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44407.79166666649</v>
      </c>
      <c r="AI77" s="234">
        <f ca="1">MIN(25%,(TblConstr[[#This Row],[Tot Fac]]+TblConstr[[#This Row],[Dest Fac]])/(TblConstr[[#This Row],[Land]]-TblExplore[[#This Row],[Land Bonus]]*20))</f>
        <v>7.4999999999999997E-2</v>
      </c>
      <c r="AJ77" s="234">
        <f ca="1">MIN(25%,(TblConstr[[#This Row],[Tot Fac]]+TblConstr[[#This Row],[Dest Fac]])/TblConstr[[#This Row],[Land]])</f>
        <v>7.4999999999999997E-2</v>
      </c>
      <c r="AK77" s="113">
        <f ca="1">TblProd[[#This Row],[Platinum]]</f>
        <v>362880</v>
      </c>
      <c r="AL77" s="113">
        <f ca="1">TblProd[[#This Row],[Lumber]]</f>
        <v>34995</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7" s="113">
        <f ca="1">ROUNDDOWN( MAX(1 - MIN(facs_constr_factor*TblConstr[[#This Row],[Facs -DB]],facs_constr_max) + tech_1_11*TblTech[[#This Row],[11-1]] + tech_6_3_2*TblTech[[#This Row],[6-3]] + tech_5_2_3*TblTech[[#This Row],[5-2]], 1-global_constr_cap) * TblConstr[[#This Row],[RCPA Lumber]],0)</f>
        <v>147</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7" s="113">
        <f ca="1">ROUNDDOWN( MAX(1 - MIN(facs_constr_factor*TblConstr[[#This Row],[Facs DB]],facs_constr_max) + tech_1_11*TblTech[[#This Row],[1-11]] + tech_6_3_2*TblTech[[#This Row],[6-3]] + tech_5_2_3*TblTech[[#This Row],[5-2]], 1-global_constr_cap) * TblConstr[[#This Row],[RCPA Lumber]],0)</f>
        <v>147</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1386</v>
      </c>
      <c r="AW77" s="113">
        <f ca="1">ROUND((MAX(TblConstr[[#This Row],[Buildings]],250,0.75*TblConstr[[#This Row],[Land]])-250) * 0.35+87.5,0)</f>
        <v>210</v>
      </c>
      <c r="AX77" s="200"/>
      <c r="AY77" s="243" cm="1">
        <f t="array" aca="1" ref="AY77" ca="1">IF(TblConstr[[#This Row],[Hour]:[Hour]]&gt;12,OFFSET(TblConstr[[#This Row],[Hom]],-12,0),0)+OFFSET(TblConstr[[#This Row],[Tot Hom]],-1,0)-TblConstr[[#This Row],[Dest Hom]]</f>
        <v>48</v>
      </c>
      <c r="AZ77" s="244" cm="1">
        <f t="array" aca="1" ref="AZ77" ca="1">IF(TblConstr[[#This Row],[Hour]:[Hour]]&gt;12,OFFSET(TblConstr[[#This Row],[Alc]],-12,0),0)+OFFSET(TblConstr[[#This Row],[Tot Alc]],-1,0)-TblConstr[[#This Row],[Dest Alc]]</f>
        <v>264</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108</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30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45</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15</v>
      </c>
      <c r="BM77" s="488" cm="1">
        <f t="array" aca="1" ref="BM77" ca="1">IF(TblConstr[[#This Row],[Hour]:[Hour]]&gt;12,OFFSET(TblConstr[[#This Row],[Tem]],-12,0),0)+OFFSET(TblConstr[[#This Row],[Tot Tem]],-1,0)-TblConstr[[#This Row],[Dest Tem]]</f>
        <v>20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20</v>
      </c>
      <c r="BR77" s="184"/>
      <c r="BS77" s="200"/>
      <c r="BT77" s="113">
        <f ca="1">TblConstr[[#This Row],[Land]]</f>
        <v>600</v>
      </c>
      <c r="BU77" s="205">
        <f ca="1">TblImps[[#This Row],[Time]]</f>
        <v>44407.79166666649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402</v>
      </c>
      <c r="DA77" s="113">
        <f t="shared" ca="1" si="13"/>
        <v>20</v>
      </c>
      <c r="DB77" s="49">
        <f t="shared" ca="1" si="14"/>
        <v>30</v>
      </c>
      <c r="DC77" s="113">
        <f t="shared" ca="1" si="15"/>
        <v>45</v>
      </c>
      <c r="DD77" s="113">
        <f t="shared" ca="1" si="16"/>
        <v>35</v>
      </c>
      <c r="DE77" s="49">
        <f t="shared" ca="1" si="17"/>
        <v>0</v>
      </c>
      <c r="DF77" s="113">
        <f t="shared" ca="1" si="18"/>
        <v>20</v>
      </c>
      <c r="DG77" s="113" cm="1">
        <f t="array" aca="1" ref="DG77" ca="1">INDEX(TblConstr[[Total Plain]:[Total Water]],ROW()-ROW(TblConstr[#Headers]),MATCH("Total "&amp;home_land,TblConstr[[#Headers],[Total Plain]:[Total Water]],0))+TblConstr[[#This Row],[Homes]]</f>
        <v>450</v>
      </c>
      <c r="DH77" s="49">
        <f t="shared" ca="1" si="22"/>
        <v>48</v>
      </c>
      <c r="DI77" s="113">
        <f t="shared" ca="1" si="19"/>
        <v>0</v>
      </c>
      <c r="DJ77" s="49">
        <f t="shared" ca="1" si="20"/>
        <v>0</v>
      </c>
    </row>
    <row r="78" spans="1:114" x14ac:dyDescent="0.2">
      <c r="A78" s="228">
        <f>TblRezone[[#This Row],[Hour]]</f>
        <v>75</v>
      </c>
      <c r="B78" s="229">
        <f ca="1">SUM(TblConstr[[#This Row],[Plain]:[Water]])</f>
        <v>0</v>
      </c>
      <c r="C78" s="230">
        <f ca="1">SUM(TblConstr[[#This Row],[Tot Hom]:[Tot Doc]])</f>
        <v>600</v>
      </c>
      <c r="D78" s="230">
        <f t="shared" si="21"/>
        <v>0</v>
      </c>
      <c r="E78" s="231"/>
      <c r="F78" s="74">
        <f ca="1">TblConstr[[#This Row],[Barren]]+TblConstr[[#This Row],[Buildings]]+TblConstr[[#This Row],[Incoming]]</f>
        <v>600</v>
      </c>
      <c r="G78" s="242">
        <f ca="1">OFFSET(TblConstr[[#This Row],[Plain]],-1,0)+TblConstr[[#This Row],[Ch_Plain]]</f>
        <v>0</v>
      </c>
      <c r="H78" s="236">
        <f ca="1">OFFSET(TblConstr[[#This Row],[Forest]],-1,0)+TblConstr[[#This Row],[Ch_Forest]]</f>
        <v>0</v>
      </c>
      <c r="I78" s="478">
        <f ca="1">OFFSET(TblConstr[[#This Row],[Mountain]],-1,0)+TblConstr[[#This Row],[Ch_Mountain]]</f>
        <v>0</v>
      </c>
      <c r="J78" s="482">
        <f ca="1">OFFSET(TblConstr[[#This Row],[Hill]],-1,0)+TblConstr[[#This Row],[Ch_Hill]]</f>
        <v>0</v>
      </c>
      <c r="K78" s="486">
        <f ca="1">OFFSET(TblConstr[[#This Row],[Swamp]],-1,0)+TblConstr[[#This Row],[Ch_Swamp]]</f>
        <v>0</v>
      </c>
      <c r="L78" s="239">
        <f ca="1">OFFSET(TblConstr[[#This Row],[Cavern]],-1,0)+TblConstr[[#This Row],[Ch_Cavern]]</f>
        <v>0</v>
      </c>
      <c r="M78" s="240">
        <f ca="1">OFFSET(TblConstr[[#This Row],[Water]],-1,0)+TblConstr[[#This Row],[Ch_Water]]</f>
        <v>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44407.833333333154</v>
      </c>
      <c r="AI78" s="234">
        <f ca="1">MIN(25%,(TblConstr[[#This Row],[Tot Fac]]+TblConstr[[#This Row],[Dest Fac]])/(TblConstr[[#This Row],[Land]]-TblExplore[[#This Row],[Land Bonus]]*20))</f>
        <v>7.4999999999999997E-2</v>
      </c>
      <c r="AJ78" s="234">
        <f ca="1">MIN(25%,(TblConstr[[#This Row],[Tot Fac]]+TblConstr[[#This Row],[Dest Fac]])/TblConstr[[#This Row],[Land]])</f>
        <v>7.4999999999999997E-2</v>
      </c>
      <c r="AK78" s="113">
        <f ca="1">TblProd[[#This Row],[Platinum]]</f>
        <v>397655</v>
      </c>
      <c r="AL78" s="113">
        <f ca="1">TblProd[[#This Row],[Lumber]]</f>
        <v>35645</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8" s="113">
        <f ca="1">ROUNDDOWN( MAX(1 - MIN(facs_constr_factor*TblConstr[[#This Row],[Facs -DB]],facs_constr_max) + tech_1_11*TblTech[[#This Row],[11-1]] + tech_6_3_2*TblTech[[#This Row],[6-3]] + tech_5_2_3*TblTech[[#This Row],[5-2]], 1-global_constr_cap) * TblConstr[[#This Row],[RCPA Lumber]],0)</f>
        <v>147</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8" s="113">
        <f ca="1">ROUNDDOWN( MAX(1 - MIN(facs_constr_factor*TblConstr[[#This Row],[Facs DB]],facs_constr_max) + tech_1_11*TblTech[[#This Row],[1-11]] + tech_6_3_2*TblTech[[#This Row],[6-3]] + tech_5_2_3*TblTech[[#This Row],[5-2]], 1-global_constr_cap) * TblConstr[[#This Row],[RCPA Lumber]],0)</f>
        <v>147</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1386</v>
      </c>
      <c r="AW78" s="113">
        <f ca="1">ROUND((MAX(TblConstr[[#This Row],[Buildings]],250,0.75*TblConstr[[#This Row],[Land]])-250) * 0.35+87.5,0)</f>
        <v>210</v>
      </c>
      <c r="AX78" s="200"/>
      <c r="AY78" s="243" cm="1">
        <f t="array" aca="1" ref="AY78" ca="1">IF(TblConstr[[#This Row],[Hour]:[Hour]]&gt;12,OFFSET(TblConstr[[#This Row],[Hom]],-12,0),0)+OFFSET(TblConstr[[#This Row],[Tot Hom]],-1,0)-TblConstr[[#This Row],[Dest Hom]]</f>
        <v>48</v>
      </c>
      <c r="AZ78" s="244" cm="1">
        <f t="array" aca="1" ref="AZ78" ca="1">IF(TblConstr[[#This Row],[Hour]:[Hour]]&gt;12,OFFSET(TblConstr[[#This Row],[Alc]],-12,0),0)+OFFSET(TblConstr[[#This Row],[Tot Alc]],-1,0)-TblConstr[[#This Row],[Dest Alc]]</f>
        <v>264</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108</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30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45</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15</v>
      </c>
      <c r="BM78" s="488" cm="1">
        <f t="array" aca="1" ref="BM78" ca="1">IF(TblConstr[[#This Row],[Hour]:[Hour]]&gt;12,OFFSET(TblConstr[[#This Row],[Tem]],-12,0),0)+OFFSET(TblConstr[[#This Row],[Tot Tem]],-1,0)-TblConstr[[#This Row],[Dest Tem]]</f>
        <v>20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20</v>
      </c>
      <c r="BR78" s="184"/>
      <c r="BS78" s="200"/>
      <c r="BT78" s="113">
        <f ca="1">TblConstr[[#This Row],[Land]]</f>
        <v>600</v>
      </c>
      <c r="BU78" s="205">
        <f ca="1">TblImps[[#This Row],[Time]]</f>
        <v>44407.833333333154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402</v>
      </c>
      <c r="DA78" s="113">
        <f t="shared" ca="1" si="13"/>
        <v>20</v>
      </c>
      <c r="DB78" s="49">
        <f t="shared" ca="1" si="14"/>
        <v>30</v>
      </c>
      <c r="DC78" s="113">
        <f t="shared" ca="1" si="15"/>
        <v>45</v>
      </c>
      <c r="DD78" s="113">
        <f t="shared" ca="1" si="16"/>
        <v>35</v>
      </c>
      <c r="DE78" s="49">
        <f t="shared" ca="1" si="17"/>
        <v>0</v>
      </c>
      <c r="DF78" s="113">
        <f t="shared" ca="1" si="18"/>
        <v>20</v>
      </c>
      <c r="DG78" s="113" cm="1">
        <f t="array" aca="1" ref="DG78" ca="1">INDEX(TblConstr[[Total Plain]:[Total Water]],ROW()-ROW(TblConstr[#Headers]),MATCH("Total "&amp;home_land,TblConstr[[#Headers],[Total Plain]:[Total Water]],0))+TblConstr[[#This Row],[Homes]]</f>
        <v>450</v>
      </c>
      <c r="DH78" s="49">
        <f t="shared" ca="1" si="22"/>
        <v>48</v>
      </c>
      <c r="DI78" s="49">
        <f t="shared" ca="1" si="19"/>
        <v>0</v>
      </c>
      <c r="DJ78" s="49">
        <f t="shared" ca="1" si="20"/>
        <v>0</v>
      </c>
    </row>
    <row r="79" spans="1:114" x14ac:dyDescent="0.2">
      <c r="A79" s="228">
        <f>TblRezone[[#This Row],[Hour]]</f>
        <v>76</v>
      </c>
      <c r="B79" s="229">
        <f ca="1">SUM(TblConstr[[#This Row],[Plain]:[Water]])</f>
        <v>0</v>
      </c>
      <c r="C79" s="230">
        <f ca="1">SUM(TblConstr[[#This Row],[Tot Hom]:[Tot Doc]])</f>
        <v>600</v>
      </c>
      <c r="D79" s="230">
        <f t="shared" si="21"/>
        <v>0</v>
      </c>
      <c r="E79" s="231"/>
      <c r="F79" s="74">
        <f ca="1">TblConstr[[#This Row],[Barren]]+TblConstr[[#This Row],[Buildings]]+TblConstr[[#This Row],[Incoming]]</f>
        <v>600</v>
      </c>
      <c r="G79" s="242">
        <f ca="1">OFFSET(TblConstr[[#This Row],[Plain]],-1,0)+TblConstr[[#This Row],[Ch_Plain]]</f>
        <v>0</v>
      </c>
      <c r="H79" s="236">
        <f ca="1">OFFSET(TblConstr[[#This Row],[Forest]],-1,0)+TblConstr[[#This Row],[Ch_Forest]]</f>
        <v>0</v>
      </c>
      <c r="I79" s="478">
        <f ca="1">OFFSET(TblConstr[[#This Row],[Mountain]],-1,0)+TblConstr[[#This Row],[Ch_Mountain]]</f>
        <v>0</v>
      </c>
      <c r="J79" s="482">
        <f ca="1">OFFSET(TblConstr[[#This Row],[Hill]],-1,0)+TblConstr[[#This Row],[Ch_Hill]]</f>
        <v>0</v>
      </c>
      <c r="K79" s="486">
        <f ca="1">OFFSET(TblConstr[[#This Row],[Swamp]],-1,0)+TblConstr[[#This Row],[Ch_Swamp]]</f>
        <v>0</v>
      </c>
      <c r="L79" s="239">
        <f ca="1">OFFSET(TblConstr[[#This Row],[Cavern]],-1,0)+TblConstr[[#This Row],[Ch_Cavern]]</f>
        <v>0</v>
      </c>
      <c r="M79" s="240">
        <f ca="1">OFFSET(TblConstr[[#This Row],[Water]],-1,0)+TblConstr[[#This Row],[Ch_Water]]</f>
        <v>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44407.874999999818</v>
      </c>
      <c r="AI79" s="234">
        <f ca="1">MIN(25%,(TblConstr[[#This Row],[Tot Fac]]+TblConstr[[#This Row],[Dest Fac]])/(TblConstr[[#This Row],[Land]]-TblExplore[[#This Row],[Land Bonus]]*20))</f>
        <v>7.4999999999999997E-2</v>
      </c>
      <c r="AJ79" s="234">
        <f ca="1">MIN(25%,(TblConstr[[#This Row],[Tot Fac]]+TblConstr[[#This Row],[Dest Fac]])/TblConstr[[#This Row],[Land]])</f>
        <v>7.4999999999999997E-2</v>
      </c>
      <c r="AK79" s="113">
        <f ca="1">TblProd[[#This Row],[Platinum]]</f>
        <v>432213</v>
      </c>
      <c r="AL79" s="113">
        <f ca="1">TblProd[[#This Row],[Lumber]]</f>
        <v>36289</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9" s="113">
        <f ca="1">ROUNDDOWN( MAX(1 - MIN(facs_constr_factor*TblConstr[[#This Row],[Facs -DB]],facs_constr_max) + tech_1_11*TblTech[[#This Row],[11-1]] + tech_6_3_2*TblTech[[#This Row],[6-3]] + tech_5_2_3*TblTech[[#This Row],[5-2]], 1-global_constr_cap) * TblConstr[[#This Row],[RCPA Lumber]],0)</f>
        <v>147</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9" s="113">
        <f ca="1">ROUNDDOWN( MAX(1 - MIN(facs_constr_factor*TblConstr[[#This Row],[Facs DB]],facs_constr_max) + tech_1_11*TblTech[[#This Row],[1-11]] + tech_6_3_2*TblTech[[#This Row],[6-3]] + tech_5_2_3*TblTech[[#This Row],[5-2]], 1-global_constr_cap) * TblConstr[[#This Row],[RCPA Lumber]],0)</f>
        <v>147</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1386</v>
      </c>
      <c r="AW79" s="113">
        <f ca="1">ROUND((MAX(TblConstr[[#This Row],[Buildings]],250,0.75*TblConstr[[#This Row],[Land]])-250) * 0.35+87.5,0)</f>
        <v>210</v>
      </c>
      <c r="AX79" s="200"/>
      <c r="AY79" s="243" cm="1">
        <f t="array" aca="1" ref="AY79" ca="1">IF(TblConstr[[#This Row],[Hour]:[Hour]]&gt;12,OFFSET(TblConstr[[#This Row],[Hom]],-12,0),0)+OFFSET(TblConstr[[#This Row],[Tot Hom]],-1,0)-TblConstr[[#This Row],[Dest Hom]]</f>
        <v>48</v>
      </c>
      <c r="AZ79" s="244" cm="1">
        <f t="array" aca="1" ref="AZ79" ca="1">IF(TblConstr[[#This Row],[Hour]:[Hour]]&gt;12,OFFSET(TblConstr[[#This Row],[Alc]],-12,0),0)+OFFSET(TblConstr[[#This Row],[Tot Alc]],-1,0)-TblConstr[[#This Row],[Dest Alc]]</f>
        <v>264</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108</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30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45</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15</v>
      </c>
      <c r="BM79" s="488" cm="1">
        <f t="array" aca="1" ref="BM79" ca="1">IF(TblConstr[[#This Row],[Hour]:[Hour]]&gt;12,OFFSET(TblConstr[[#This Row],[Tem]],-12,0),0)+OFFSET(TblConstr[[#This Row],[Tot Tem]],-1,0)-TblConstr[[#This Row],[Dest Tem]]</f>
        <v>20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20</v>
      </c>
      <c r="BR79" s="184"/>
      <c r="BS79" s="200"/>
      <c r="BT79" s="113">
        <f ca="1">TblConstr[[#This Row],[Land]]</f>
        <v>600</v>
      </c>
      <c r="BU79" s="205">
        <f ca="1">TblImps[[#This Row],[Time]]</f>
        <v>44407.874999999818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402</v>
      </c>
      <c r="DA79" s="113">
        <f t="shared" ca="1" si="13"/>
        <v>20</v>
      </c>
      <c r="DB79" s="49">
        <f t="shared" ca="1" si="14"/>
        <v>30</v>
      </c>
      <c r="DC79" s="113">
        <f t="shared" ca="1" si="15"/>
        <v>45</v>
      </c>
      <c r="DD79" s="113">
        <f t="shared" ca="1" si="16"/>
        <v>35</v>
      </c>
      <c r="DE79" s="49">
        <f t="shared" ca="1" si="17"/>
        <v>0</v>
      </c>
      <c r="DF79" s="113">
        <f t="shared" ca="1" si="18"/>
        <v>20</v>
      </c>
      <c r="DG79" s="113" cm="1">
        <f t="array" aca="1" ref="DG79" ca="1">INDEX(TblConstr[[Total Plain]:[Total Water]],ROW()-ROW(TblConstr[#Headers]),MATCH("Total "&amp;home_land,TblConstr[[#Headers],[Total Plain]:[Total Water]],0))+TblConstr[[#This Row],[Homes]]</f>
        <v>450</v>
      </c>
      <c r="DH79" s="49">
        <f t="shared" ca="1" si="22"/>
        <v>48</v>
      </c>
      <c r="DI79" s="49">
        <f t="shared" ca="1" si="19"/>
        <v>0</v>
      </c>
      <c r="DJ79" s="49">
        <f t="shared" ca="1" si="20"/>
        <v>0</v>
      </c>
    </row>
    <row r="80" spans="1:114" x14ac:dyDescent="0.2">
      <c r="A80" s="228">
        <f>TblRezone[[#This Row],[Hour]]</f>
        <v>77</v>
      </c>
      <c r="B80" s="229">
        <f ca="1">SUM(TblConstr[[#This Row],[Plain]:[Water]])</f>
        <v>0</v>
      </c>
      <c r="C80" s="230">
        <f ca="1">SUM(TblConstr[[#This Row],[Tot Hom]:[Tot Doc]])</f>
        <v>600</v>
      </c>
      <c r="D80" s="230">
        <f t="shared" si="21"/>
        <v>0</v>
      </c>
      <c r="E80" s="231"/>
      <c r="F80" s="74">
        <f ca="1">TblConstr[[#This Row],[Barren]]+TblConstr[[#This Row],[Buildings]]+TblConstr[[#This Row],[Incoming]]</f>
        <v>600</v>
      </c>
      <c r="G80" s="242">
        <f ca="1">OFFSET(TblConstr[[#This Row],[Plain]],-1,0)+TblConstr[[#This Row],[Ch_Plain]]</f>
        <v>0</v>
      </c>
      <c r="H80" s="236">
        <f ca="1">OFFSET(TblConstr[[#This Row],[Forest]],-1,0)+TblConstr[[#This Row],[Ch_Forest]]</f>
        <v>0</v>
      </c>
      <c r="I80" s="478">
        <f ca="1">OFFSET(TblConstr[[#This Row],[Mountain]],-1,0)+TblConstr[[#This Row],[Ch_Mountain]]</f>
        <v>0</v>
      </c>
      <c r="J80" s="482">
        <f ca="1">OFFSET(TblConstr[[#This Row],[Hill]],-1,0)+TblConstr[[#This Row],[Ch_Hill]]</f>
        <v>0</v>
      </c>
      <c r="K80" s="486">
        <f ca="1">OFFSET(TblConstr[[#This Row],[Swamp]],-1,0)+TblConstr[[#This Row],[Ch_Swamp]]</f>
        <v>0</v>
      </c>
      <c r="L80" s="239">
        <f ca="1">OFFSET(TblConstr[[#This Row],[Cavern]],-1,0)+TblConstr[[#This Row],[Ch_Cavern]]</f>
        <v>0</v>
      </c>
      <c r="M80" s="240">
        <f ca="1">OFFSET(TblConstr[[#This Row],[Water]],-1,0)+TblConstr[[#This Row],[Ch_Water]]</f>
        <v>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44407.916666666482</v>
      </c>
      <c r="AI80" s="234">
        <f ca="1">MIN(25%,(TblConstr[[#This Row],[Tot Fac]]+TblConstr[[#This Row],[Dest Fac]])/(TblConstr[[#This Row],[Land]]-TblExplore[[#This Row],[Land Bonus]]*20))</f>
        <v>7.4999999999999997E-2</v>
      </c>
      <c r="AJ80" s="234">
        <f ca="1">MIN(25%,(TblConstr[[#This Row],[Tot Fac]]+TblConstr[[#This Row],[Dest Fac]])/TblConstr[[#This Row],[Land]])</f>
        <v>7.4999999999999997E-2</v>
      </c>
      <c r="AK80" s="113">
        <f ca="1">TblProd[[#This Row],[Platinum]]</f>
        <v>463435</v>
      </c>
      <c r="AL80" s="113">
        <f ca="1">TblProd[[#This Row],[Lumber]]</f>
        <v>36926</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0" s="113">
        <f ca="1">ROUNDDOWN( MAX(1 - MIN(facs_constr_factor*TblConstr[[#This Row],[Facs -DB]],facs_constr_max) + tech_1_11*TblTech[[#This Row],[11-1]] + tech_6_3_2*TblTech[[#This Row],[6-3]] + tech_5_2_3*TblTech[[#This Row],[5-2]], 1-global_constr_cap) * TblConstr[[#This Row],[RCPA Lumber]],0)</f>
        <v>147</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0" s="113">
        <f ca="1">ROUNDDOWN( MAX(1 - MIN(facs_constr_factor*TblConstr[[#This Row],[Facs DB]],facs_constr_max) + tech_1_11*TblTech[[#This Row],[1-11]] + tech_6_3_2*TblTech[[#This Row],[6-3]] + tech_5_2_3*TblTech[[#This Row],[5-2]], 1-global_constr_cap) * TblConstr[[#This Row],[RCPA Lumber]],0)</f>
        <v>147</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1386</v>
      </c>
      <c r="AW80" s="113">
        <f ca="1">ROUND((MAX(TblConstr[[#This Row],[Buildings]],250,0.75*TblConstr[[#This Row],[Land]])-250) * 0.35+87.5,0)</f>
        <v>210</v>
      </c>
      <c r="AX80" s="200"/>
      <c r="AY80" s="243" cm="1">
        <f t="array" aca="1" ref="AY80" ca="1">IF(TblConstr[[#This Row],[Hour]:[Hour]]&gt;12,OFFSET(TblConstr[[#This Row],[Hom]],-12,0),0)+OFFSET(TblConstr[[#This Row],[Tot Hom]],-1,0)-TblConstr[[#This Row],[Dest Hom]]</f>
        <v>48</v>
      </c>
      <c r="AZ80" s="244" cm="1">
        <f t="array" aca="1" ref="AZ80" ca="1">IF(TblConstr[[#This Row],[Hour]:[Hour]]&gt;12,OFFSET(TblConstr[[#This Row],[Alc]],-12,0),0)+OFFSET(TblConstr[[#This Row],[Tot Alc]],-1,0)-TblConstr[[#This Row],[Dest Alc]]</f>
        <v>264</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108</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30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45</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15</v>
      </c>
      <c r="BM80" s="488" cm="1">
        <f t="array" aca="1" ref="BM80" ca="1">IF(TblConstr[[#This Row],[Hour]:[Hour]]&gt;12,OFFSET(TblConstr[[#This Row],[Tem]],-12,0),0)+OFFSET(TblConstr[[#This Row],[Tot Tem]],-1,0)-TblConstr[[#This Row],[Dest Tem]]</f>
        <v>20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20</v>
      </c>
      <c r="BR80" s="184"/>
      <c r="BS80" s="200"/>
      <c r="BT80" s="113">
        <f ca="1">TblConstr[[#This Row],[Land]]</f>
        <v>600</v>
      </c>
      <c r="BU80" s="205">
        <f ca="1">TblImps[[#This Row],[Time]]</f>
        <v>44407.916666666482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402</v>
      </c>
      <c r="DA80" s="113">
        <f t="shared" ref="DA80:DA111" ca="1" si="24">H80+SUM(T69:U80)+SUM(BD80:BE80)</f>
        <v>20</v>
      </c>
      <c r="DB80" s="49">
        <f t="shared" ref="DB80:DB111" ca="1" si="25">I80+SUM(V69:W80)+SUM(BF80:BG80)</f>
        <v>30</v>
      </c>
      <c r="DC80" s="113">
        <f t="shared" ref="DC80:DC111" ca="1" si="26">J80+SUM(X69:Y80)+SUM(BH80:BI80)</f>
        <v>45</v>
      </c>
      <c r="DD80" s="113">
        <f t="shared" ref="DD80:DD111" ca="1" si="27">K80+SUM(AB69:AD80)+SUM(BL80:BN80)</f>
        <v>35</v>
      </c>
      <c r="DE80" s="49">
        <f t="shared" ref="DE80:DE111" ca="1" si="28">L80+SUM(AE69:AE80)+BO80</f>
        <v>0</v>
      </c>
      <c r="DF80" s="113">
        <f t="shared" ref="DF80:DF111" ca="1" si="29">M80+SUM(AG69:AG80)+BQ80</f>
        <v>20</v>
      </c>
      <c r="DG80" s="113" cm="1">
        <f t="array" aca="1" ref="DG80" ca="1">INDEX(TblConstr[[Total Plain]:[Total Water]],ROW()-ROW(TblConstr[#Headers]),MATCH("Total "&amp;home_land,TblConstr[[#Headers],[Total Plain]:[Total Water]],0))+TblConstr[[#This Row],[Homes]]</f>
        <v>450</v>
      </c>
      <c r="DH80" s="49">
        <f t="shared" ca="1" si="22"/>
        <v>48</v>
      </c>
      <c r="DI80" s="49">
        <f t="shared" ca="1" si="19"/>
        <v>0</v>
      </c>
      <c r="DJ80" s="49">
        <f t="shared" ca="1" si="20"/>
        <v>0</v>
      </c>
    </row>
    <row r="81" spans="1:114" x14ac:dyDescent="0.2">
      <c r="A81" s="228">
        <f>TblRezone[[#This Row],[Hour]]</f>
        <v>78</v>
      </c>
      <c r="B81" s="229">
        <f ca="1">SUM(TblConstr[[#This Row],[Plain]:[Water]])</f>
        <v>0</v>
      </c>
      <c r="C81" s="230">
        <f ca="1">SUM(TblConstr[[#This Row],[Tot Hom]:[Tot Doc]])</f>
        <v>600</v>
      </c>
      <c r="D81" s="230">
        <f t="shared" si="21"/>
        <v>0</v>
      </c>
      <c r="E81" s="231"/>
      <c r="F81" s="74">
        <f ca="1">TblConstr[[#This Row],[Barren]]+TblConstr[[#This Row],[Buildings]]+TblConstr[[#This Row],[Incoming]]</f>
        <v>600</v>
      </c>
      <c r="G81" s="242">
        <f ca="1">OFFSET(TblConstr[[#This Row],[Plain]],-1,0)+TblConstr[[#This Row],[Ch_Plain]]</f>
        <v>0</v>
      </c>
      <c r="H81" s="236">
        <f ca="1">OFFSET(TblConstr[[#This Row],[Forest]],-1,0)+TblConstr[[#This Row],[Ch_Forest]]</f>
        <v>0</v>
      </c>
      <c r="I81" s="478">
        <f ca="1">OFFSET(TblConstr[[#This Row],[Mountain]],-1,0)+TblConstr[[#This Row],[Ch_Mountain]]</f>
        <v>0</v>
      </c>
      <c r="J81" s="482">
        <f ca="1">OFFSET(TblConstr[[#This Row],[Hill]],-1,0)+TblConstr[[#This Row],[Ch_Hill]]</f>
        <v>0</v>
      </c>
      <c r="K81" s="486">
        <f ca="1">OFFSET(TblConstr[[#This Row],[Swamp]],-1,0)+TblConstr[[#This Row],[Ch_Swamp]]</f>
        <v>0</v>
      </c>
      <c r="L81" s="239">
        <f ca="1">OFFSET(TblConstr[[#This Row],[Cavern]],-1,0)+TblConstr[[#This Row],[Ch_Cavern]]</f>
        <v>0</v>
      </c>
      <c r="M81" s="240">
        <f ca="1">OFFSET(TblConstr[[#This Row],[Water]],-1,0)+TblConstr[[#This Row],[Ch_Water]]</f>
        <v>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44407.958333333147</v>
      </c>
      <c r="AI81" s="234">
        <f ca="1">MIN(25%,(TblConstr[[#This Row],[Tot Fac]]+TblConstr[[#This Row],[Dest Fac]])/(TblConstr[[#This Row],[Land]]-TblExplore[[#This Row],[Land Bonus]]*20))</f>
        <v>7.4999999999999997E-2</v>
      </c>
      <c r="AJ81" s="234">
        <f ca="1">MIN(25%,(TblConstr[[#This Row],[Tot Fac]]+TblConstr[[#This Row],[Dest Fac]])/TblConstr[[#This Row],[Land]])</f>
        <v>7.4999999999999997E-2</v>
      </c>
      <c r="AK81" s="113">
        <f ca="1">TblProd[[#This Row],[Platinum]]</f>
        <v>494463</v>
      </c>
      <c r="AL81" s="113">
        <f ca="1">TblProd[[#This Row],[Lumber]]</f>
        <v>37557</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1" s="113">
        <f ca="1">ROUNDDOWN( MAX(1 - MIN(facs_constr_factor*TblConstr[[#This Row],[Facs -DB]],facs_constr_max) + tech_1_11*TblTech[[#This Row],[11-1]] + tech_6_3_2*TblTech[[#This Row],[6-3]] + tech_5_2_3*TblTech[[#This Row],[5-2]], 1-global_constr_cap) * TblConstr[[#This Row],[RCPA Lumber]],0)</f>
        <v>147</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1" s="113">
        <f ca="1">ROUNDDOWN( MAX(1 - MIN(facs_constr_factor*TblConstr[[#This Row],[Facs DB]],facs_constr_max) + tech_1_11*TblTech[[#This Row],[1-11]] + tech_6_3_2*TblTech[[#This Row],[6-3]] + tech_5_2_3*TblTech[[#This Row],[5-2]], 1-global_constr_cap) * TblConstr[[#This Row],[RCPA Lumber]],0)</f>
        <v>147</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1386</v>
      </c>
      <c r="AW81" s="113">
        <f ca="1">ROUND((MAX(TblConstr[[#This Row],[Buildings]],250,0.75*TblConstr[[#This Row],[Land]])-250) * 0.35+87.5,0)</f>
        <v>210</v>
      </c>
      <c r="AX81" s="200"/>
      <c r="AY81" s="243" cm="1">
        <f t="array" aca="1" ref="AY81" ca="1">IF(TblConstr[[#This Row],[Hour]:[Hour]]&gt;12,OFFSET(TblConstr[[#This Row],[Hom]],-12,0),0)+OFFSET(TblConstr[[#This Row],[Tot Hom]],-1,0)-TblConstr[[#This Row],[Dest Hom]]</f>
        <v>48</v>
      </c>
      <c r="AZ81" s="244" cm="1">
        <f t="array" aca="1" ref="AZ81" ca="1">IF(TblConstr[[#This Row],[Hour]:[Hour]]&gt;12,OFFSET(TblConstr[[#This Row],[Alc]],-12,0),0)+OFFSET(TblConstr[[#This Row],[Tot Alc]],-1,0)-TblConstr[[#This Row],[Dest Alc]]</f>
        <v>264</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108</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30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45</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15</v>
      </c>
      <c r="BM81" s="488" cm="1">
        <f t="array" aca="1" ref="BM81" ca="1">IF(TblConstr[[#This Row],[Hour]:[Hour]]&gt;12,OFFSET(TblConstr[[#This Row],[Tem]],-12,0),0)+OFFSET(TblConstr[[#This Row],[Tot Tem]],-1,0)-TblConstr[[#This Row],[Dest Tem]]</f>
        <v>20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20</v>
      </c>
      <c r="BR81" s="184"/>
      <c r="BS81" s="200"/>
      <c r="BT81" s="113">
        <f ca="1">TblConstr[[#This Row],[Land]]</f>
        <v>600</v>
      </c>
      <c r="BU81" s="205">
        <f ca="1">TblImps[[#This Row],[Time]]</f>
        <v>44407.958333333147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402</v>
      </c>
      <c r="DA81" s="113">
        <f t="shared" ca="1" si="24"/>
        <v>20</v>
      </c>
      <c r="DB81" s="49">
        <f t="shared" ca="1" si="25"/>
        <v>30</v>
      </c>
      <c r="DC81" s="113">
        <f t="shared" ca="1" si="26"/>
        <v>45</v>
      </c>
      <c r="DD81" s="113">
        <f t="shared" ca="1" si="27"/>
        <v>35</v>
      </c>
      <c r="DE81" s="49">
        <f t="shared" ca="1" si="28"/>
        <v>0</v>
      </c>
      <c r="DF81" s="113">
        <f t="shared" ca="1" si="29"/>
        <v>20</v>
      </c>
      <c r="DG81" s="113" cm="1">
        <f t="array" aca="1" ref="DG81" ca="1">INDEX(TblConstr[[Total Plain]:[Total Water]],ROW()-ROW(TblConstr[#Headers]),MATCH("Total "&amp;home_land,TblConstr[[#Headers],[Total Plain]:[Total Water]],0))+TblConstr[[#This Row],[Homes]]</f>
        <v>450</v>
      </c>
      <c r="DH81" s="49">
        <f t="shared" ca="1" si="22"/>
        <v>48</v>
      </c>
      <c r="DI81" s="49">
        <f t="shared" ca="1" si="19"/>
        <v>0</v>
      </c>
      <c r="DJ81" s="49">
        <f t="shared" ca="1" si="20"/>
        <v>0</v>
      </c>
    </row>
    <row r="82" spans="1:114" x14ac:dyDescent="0.2">
      <c r="A82" s="228">
        <f>TblRezone[[#This Row],[Hour]]</f>
        <v>79</v>
      </c>
      <c r="B82" s="229">
        <f ca="1">SUM(TblConstr[[#This Row],[Plain]:[Water]])</f>
        <v>0</v>
      </c>
      <c r="C82" s="230">
        <f ca="1">SUM(TblConstr[[#This Row],[Tot Hom]:[Tot Doc]])</f>
        <v>600</v>
      </c>
      <c r="D82" s="230">
        <f t="shared" si="21"/>
        <v>0</v>
      </c>
      <c r="E82" s="231"/>
      <c r="F82" s="74">
        <f ca="1">TblConstr[[#This Row],[Barren]]+TblConstr[[#This Row],[Buildings]]+TblConstr[[#This Row],[Incoming]]</f>
        <v>600</v>
      </c>
      <c r="G82" s="242">
        <f ca="1">OFFSET(TblConstr[[#This Row],[Plain]],-1,0)+TblConstr[[#This Row],[Ch_Plain]]</f>
        <v>0</v>
      </c>
      <c r="H82" s="236">
        <f ca="1">OFFSET(TblConstr[[#This Row],[Forest]],-1,0)+TblConstr[[#This Row],[Ch_Forest]]</f>
        <v>0</v>
      </c>
      <c r="I82" s="478">
        <f ca="1">OFFSET(TblConstr[[#This Row],[Mountain]],-1,0)+TblConstr[[#This Row],[Ch_Mountain]]</f>
        <v>0</v>
      </c>
      <c r="J82" s="482">
        <f ca="1">OFFSET(TblConstr[[#This Row],[Hill]],-1,0)+TblConstr[[#This Row],[Ch_Hill]]</f>
        <v>0</v>
      </c>
      <c r="K82" s="486">
        <f ca="1">OFFSET(TblConstr[[#This Row],[Swamp]],-1,0)+TblConstr[[#This Row],[Ch_Swamp]]</f>
        <v>0</v>
      </c>
      <c r="L82" s="239">
        <f ca="1">OFFSET(TblConstr[[#This Row],[Cavern]],-1,0)+TblConstr[[#This Row],[Ch_Cavern]]</f>
        <v>0</v>
      </c>
      <c r="M82" s="240">
        <f ca="1">OFFSET(TblConstr[[#This Row],[Water]],-1,0)+TblConstr[[#This Row],[Ch_Water]]</f>
        <v>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44407.999999999811</v>
      </c>
      <c r="AI82" s="234">
        <f ca="1">MIN(25%,(TblConstr[[#This Row],[Tot Fac]]+TblConstr[[#This Row],[Dest Fac]])/(TblConstr[[#This Row],[Land]]-TblExplore[[#This Row],[Land Bonus]]*20))</f>
        <v>7.4999999999999997E-2</v>
      </c>
      <c r="AJ82" s="234">
        <f ca="1">MIN(25%,(TblConstr[[#This Row],[Tot Fac]]+TblConstr[[#This Row],[Dest Fac]])/TblConstr[[#This Row],[Land]])</f>
        <v>7.4999999999999997E-2</v>
      </c>
      <c r="AK82" s="113">
        <f ca="1">TblProd[[#This Row],[Platinum]]</f>
        <v>525299</v>
      </c>
      <c r="AL82" s="113">
        <f ca="1">TblProd[[#This Row],[Lumber]]</f>
        <v>38181</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2" s="113">
        <f ca="1">ROUNDDOWN( MAX(1 - MIN(facs_constr_factor*TblConstr[[#This Row],[Facs -DB]],facs_constr_max) + tech_1_11*TblTech[[#This Row],[11-1]] + tech_6_3_2*TblTech[[#This Row],[6-3]] + tech_5_2_3*TblTech[[#This Row],[5-2]], 1-global_constr_cap) * TblConstr[[#This Row],[RCPA Lumber]],0)</f>
        <v>147</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2" s="113">
        <f ca="1">ROUNDDOWN( MAX(1 - MIN(facs_constr_factor*TblConstr[[#This Row],[Facs DB]],facs_constr_max) + tech_1_11*TblTech[[#This Row],[1-11]] + tech_6_3_2*TblTech[[#This Row],[6-3]] + tech_5_2_3*TblTech[[#This Row],[5-2]], 1-global_constr_cap) * TblConstr[[#This Row],[RCPA Lumber]],0)</f>
        <v>147</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1386</v>
      </c>
      <c r="AW82" s="113">
        <f ca="1">ROUND((MAX(TblConstr[[#This Row],[Buildings]],250,0.75*TblConstr[[#This Row],[Land]])-250) * 0.35+87.5,0)</f>
        <v>210</v>
      </c>
      <c r="AX82" s="200"/>
      <c r="AY82" s="243" cm="1">
        <f t="array" aca="1" ref="AY82" ca="1">IF(TblConstr[[#This Row],[Hour]:[Hour]]&gt;12,OFFSET(TblConstr[[#This Row],[Hom]],-12,0),0)+OFFSET(TblConstr[[#This Row],[Tot Hom]],-1,0)-TblConstr[[#This Row],[Dest Hom]]</f>
        <v>48</v>
      </c>
      <c r="AZ82" s="244" cm="1">
        <f t="array" aca="1" ref="AZ82" ca="1">IF(TblConstr[[#This Row],[Hour]:[Hour]]&gt;12,OFFSET(TblConstr[[#This Row],[Alc]],-12,0),0)+OFFSET(TblConstr[[#This Row],[Tot Alc]],-1,0)-TblConstr[[#This Row],[Dest Alc]]</f>
        <v>264</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108</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30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45</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15</v>
      </c>
      <c r="BM82" s="488" cm="1">
        <f t="array" aca="1" ref="BM82" ca="1">IF(TblConstr[[#This Row],[Hour]:[Hour]]&gt;12,OFFSET(TblConstr[[#This Row],[Tem]],-12,0),0)+OFFSET(TblConstr[[#This Row],[Tot Tem]],-1,0)-TblConstr[[#This Row],[Dest Tem]]</f>
        <v>20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20</v>
      </c>
      <c r="BR82" s="184"/>
      <c r="BS82" s="200"/>
      <c r="BT82" s="113">
        <f ca="1">TblConstr[[#This Row],[Land]]</f>
        <v>600</v>
      </c>
      <c r="BU82" s="205">
        <f ca="1">TblImps[[#This Row],[Time]]</f>
        <v>44407.999999999811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402</v>
      </c>
      <c r="DA82" s="113">
        <f t="shared" ca="1" si="24"/>
        <v>20</v>
      </c>
      <c r="DB82" s="49">
        <f t="shared" ca="1" si="25"/>
        <v>30</v>
      </c>
      <c r="DC82" s="113">
        <f t="shared" ca="1" si="26"/>
        <v>45</v>
      </c>
      <c r="DD82" s="113">
        <f t="shared" ca="1" si="27"/>
        <v>35</v>
      </c>
      <c r="DE82" s="49">
        <f t="shared" ca="1" si="28"/>
        <v>0</v>
      </c>
      <c r="DF82" s="113">
        <f t="shared" ca="1" si="29"/>
        <v>20</v>
      </c>
      <c r="DG82" s="113" cm="1">
        <f t="array" aca="1" ref="DG82" ca="1">INDEX(TblConstr[[Total Plain]:[Total Water]],ROW()-ROW(TblConstr[#Headers]),MATCH("Total "&amp;home_land,TblConstr[[#Headers],[Total Plain]:[Total Water]],0))+TblConstr[[#This Row],[Homes]]</f>
        <v>450</v>
      </c>
      <c r="DH82" s="49">
        <f t="shared" ca="1" si="22"/>
        <v>48</v>
      </c>
      <c r="DI82" s="49">
        <f t="shared" ca="1" si="19"/>
        <v>0</v>
      </c>
      <c r="DJ82" s="49">
        <f t="shared" ca="1" si="20"/>
        <v>0</v>
      </c>
    </row>
    <row r="83" spans="1:114" x14ac:dyDescent="0.2">
      <c r="A83" s="228">
        <f>TblRezone[[#This Row],[Hour]]</f>
        <v>80</v>
      </c>
      <c r="B83" s="229">
        <f ca="1">SUM(TblConstr[[#This Row],[Plain]:[Water]])</f>
        <v>0</v>
      </c>
      <c r="C83" s="230">
        <f ca="1">SUM(TblConstr[[#This Row],[Tot Hom]:[Tot Doc]])</f>
        <v>600</v>
      </c>
      <c r="D83" s="230">
        <f t="shared" si="21"/>
        <v>0</v>
      </c>
      <c r="E83" s="231"/>
      <c r="F83" s="74">
        <f ca="1">TblConstr[[#This Row],[Barren]]+TblConstr[[#This Row],[Buildings]]+TblConstr[[#This Row],[Incoming]]</f>
        <v>600</v>
      </c>
      <c r="G83" s="242">
        <f ca="1">OFFSET(TblConstr[[#This Row],[Plain]],-1,0)+TblConstr[[#This Row],[Ch_Plain]]</f>
        <v>0</v>
      </c>
      <c r="H83" s="236">
        <f ca="1">OFFSET(TblConstr[[#This Row],[Forest]],-1,0)+TblConstr[[#This Row],[Ch_Forest]]</f>
        <v>0</v>
      </c>
      <c r="I83" s="478">
        <f ca="1">OFFSET(TblConstr[[#This Row],[Mountain]],-1,0)+TblConstr[[#This Row],[Ch_Mountain]]</f>
        <v>0</v>
      </c>
      <c r="J83" s="482">
        <f ca="1">OFFSET(TblConstr[[#This Row],[Hill]],-1,0)+TblConstr[[#This Row],[Ch_Hill]]</f>
        <v>0</v>
      </c>
      <c r="K83" s="486">
        <f ca="1">OFFSET(TblConstr[[#This Row],[Swamp]],-1,0)+TblConstr[[#This Row],[Ch_Swamp]]</f>
        <v>0</v>
      </c>
      <c r="L83" s="239">
        <f ca="1">OFFSET(TblConstr[[#This Row],[Cavern]],-1,0)+TblConstr[[#This Row],[Ch_Cavern]]</f>
        <v>0</v>
      </c>
      <c r="M83" s="240">
        <f ca="1">OFFSET(TblConstr[[#This Row],[Water]],-1,0)+TblConstr[[#This Row],[Ch_Water]]</f>
        <v>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44408.041666666475</v>
      </c>
      <c r="AI83" s="234">
        <f ca="1">MIN(25%,(TblConstr[[#This Row],[Tot Fac]]+TblConstr[[#This Row],[Dest Fac]])/(TblConstr[[#This Row],[Land]]-TblExplore[[#This Row],[Land Bonus]]*20))</f>
        <v>7.4999999999999997E-2</v>
      </c>
      <c r="AJ83" s="234">
        <f ca="1">MIN(25%,(TblConstr[[#This Row],[Tot Fac]]+TblConstr[[#This Row],[Dest Fac]])/TblConstr[[#This Row],[Land]])</f>
        <v>7.4999999999999997E-2</v>
      </c>
      <c r="AK83" s="113">
        <f ca="1">TblProd[[#This Row],[Platinum]]</f>
        <v>555946</v>
      </c>
      <c r="AL83" s="113">
        <f ca="1">TblProd[[#This Row],[Lumber]]</f>
        <v>38799</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3" s="113">
        <f ca="1">ROUNDDOWN( MAX(1 - MIN(facs_constr_factor*TblConstr[[#This Row],[Facs -DB]],facs_constr_max) + tech_1_11*TblTech[[#This Row],[11-1]] + tech_6_3_2*TblTech[[#This Row],[6-3]] + tech_5_2_3*TblTech[[#This Row],[5-2]], 1-global_constr_cap) * TblConstr[[#This Row],[RCPA Lumber]],0)</f>
        <v>147</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3" s="113">
        <f ca="1">ROUNDDOWN( MAX(1 - MIN(facs_constr_factor*TblConstr[[#This Row],[Facs DB]],facs_constr_max) + tech_1_11*TblTech[[#This Row],[1-11]] + tech_6_3_2*TblTech[[#This Row],[6-3]] + tech_5_2_3*TblTech[[#This Row],[5-2]], 1-global_constr_cap) * TblConstr[[#This Row],[RCPA Lumber]],0)</f>
        <v>147</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1386</v>
      </c>
      <c r="AW83" s="113">
        <f ca="1">ROUND((MAX(TblConstr[[#This Row],[Buildings]],250,0.75*TblConstr[[#This Row],[Land]])-250) * 0.35+87.5,0)</f>
        <v>210</v>
      </c>
      <c r="AX83" s="200"/>
      <c r="AY83" s="243" cm="1">
        <f t="array" aca="1" ref="AY83" ca="1">IF(TblConstr[[#This Row],[Hour]:[Hour]]&gt;12,OFFSET(TblConstr[[#This Row],[Hom]],-12,0),0)+OFFSET(TblConstr[[#This Row],[Tot Hom]],-1,0)-TblConstr[[#This Row],[Dest Hom]]</f>
        <v>48</v>
      </c>
      <c r="AZ83" s="244" cm="1">
        <f t="array" aca="1" ref="AZ83" ca="1">IF(TblConstr[[#This Row],[Hour]:[Hour]]&gt;12,OFFSET(TblConstr[[#This Row],[Alc]],-12,0),0)+OFFSET(TblConstr[[#This Row],[Tot Alc]],-1,0)-TblConstr[[#This Row],[Dest Alc]]</f>
        <v>264</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108</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30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45</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15</v>
      </c>
      <c r="BM83" s="488" cm="1">
        <f t="array" aca="1" ref="BM83" ca="1">IF(TblConstr[[#This Row],[Hour]:[Hour]]&gt;12,OFFSET(TblConstr[[#This Row],[Tem]],-12,0),0)+OFFSET(TblConstr[[#This Row],[Tot Tem]],-1,0)-TblConstr[[#This Row],[Dest Tem]]</f>
        <v>20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20</v>
      </c>
      <c r="BR83" s="184"/>
      <c r="BS83" s="200"/>
      <c r="BT83" s="113">
        <f ca="1">TblConstr[[#This Row],[Land]]</f>
        <v>600</v>
      </c>
      <c r="BU83" s="205">
        <f ca="1">TblImps[[#This Row],[Time]]</f>
        <v>44408.041666666475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402</v>
      </c>
      <c r="DA83" s="113">
        <f t="shared" ca="1" si="24"/>
        <v>20</v>
      </c>
      <c r="DB83" s="49">
        <f t="shared" ca="1" si="25"/>
        <v>30</v>
      </c>
      <c r="DC83" s="113">
        <f t="shared" ca="1" si="26"/>
        <v>45</v>
      </c>
      <c r="DD83" s="113">
        <f t="shared" ca="1" si="27"/>
        <v>35</v>
      </c>
      <c r="DE83" s="49">
        <f t="shared" ca="1" si="28"/>
        <v>0</v>
      </c>
      <c r="DF83" s="113">
        <f t="shared" ca="1" si="29"/>
        <v>20</v>
      </c>
      <c r="DG83" s="113" cm="1">
        <f t="array" aca="1" ref="DG83" ca="1">INDEX(TblConstr[[Total Plain]:[Total Water]],ROW()-ROW(TblConstr[#Headers]),MATCH("Total "&amp;home_land,TblConstr[[#Headers],[Total Plain]:[Total Water]],0))+TblConstr[[#This Row],[Homes]]</f>
        <v>450</v>
      </c>
      <c r="DH83" s="49">
        <f t="shared" ca="1" si="22"/>
        <v>48</v>
      </c>
      <c r="DI83" s="49">
        <f t="shared" ca="1" si="19"/>
        <v>0</v>
      </c>
      <c r="DJ83" s="49">
        <f t="shared" ca="1" si="20"/>
        <v>0</v>
      </c>
    </row>
    <row r="84" spans="1:114" x14ac:dyDescent="0.2">
      <c r="A84" s="228">
        <f>TblRezone[[#This Row],[Hour]]</f>
        <v>81</v>
      </c>
      <c r="B84" s="229">
        <f ca="1">SUM(TblConstr[[#This Row],[Plain]:[Water]])</f>
        <v>0</v>
      </c>
      <c r="C84" s="230">
        <f ca="1">SUM(TblConstr[[#This Row],[Tot Hom]:[Tot Doc]])</f>
        <v>600</v>
      </c>
      <c r="D84" s="230">
        <f t="shared" si="21"/>
        <v>0</v>
      </c>
      <c r="E84" s="231"/>
      <c r="F84" s="74">
        <f ca="1">TblConstr[[#This Row],[Barren]]+TblConstr[[#This Row],[Buildings]]+TblConstr[[#This Row],[Incoming]]</f>
        <v>600</v>
      </c>
      <c r="G84" s="242">
        <f ca="1">OFFSET(TblConstr[[#This Row],[Plain]],-1,0)+TblConstr[[#This Row],[Ch_Plain]]</f>
        <v>0</v>
      </c>
      <c r="H84" s="236">
        <f ca="1">OFFSET(TblConstr[[#This Row],[Forest]],-1,0)+TblConstr[[#This Row],[Ch_Forest]]</f>
        <v>0</v>
      </c>
      <c r="I84" s="478">
        <f ca="1">OFFSET(TblConstr[[#This Row],[Mountain]],-1,0)+TblConstr[[#This Row],[Ch_Mountain]]</f>
        <v>0</v>
      </c>
      <c r="J84" s="482">
        <f ca="1">OFFSET(TblConstr[[#This Row],[Hill]],-1,0)+TblConstr[[#This Row],[Ch_Hill]]</f>
        <v>0</v>
      </c>
      <c r="K84" s="486">
        <f ca="1">OFFSET(TblConstr[[#This Row],[Swamp]],-1,0)+TblConstr[[#This Row],[Ch_Swamp]]</f>
        <v>0</v>
      </c>
      <c r="L84" s="239">
        <f ca="1">OFFSET(TblConstr[[#This Row],[Cavern]],-1,0)+TblConstr[[#This Row],[Ch_Cavern]]</f>
        <v>0</v>
      </c>
      <c r="M84" s="240">
        <f ca="1">OFFSET(TblConstr[[#This Row],[Water]],-1,0)+TblConstr[[#This Row],[Ch_Water]]</f>
        <v>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44408.083333333139</v>
      </c>
      <c r="AI84" s="234">
        <f ca="1">MIN(25%,(TblConstr[[#This Row],[Tot Fac]]+TblConstr[[#This Row],[Dest Fac]])/(TblConstr[[#This Row],[Land]]-TblExplore[[#This Row],[Land Bonus]]*20))</f>
        <v>7.4999999999999997E-2</v>
      </c>
      <c r="AJ84" s="234">
        <f ca="1">MIN(25%,(TblConstr[[#This Row],[Tot Fac]]+TblConstr[[#This Row],[Dest Fac]])/TblConstr[[#This Row],[Land]])</f>
        <v>7.4999999999999997E-2</v>
      </c>
      <c r="AK84" s="113">
        <f ca="1">TblProd[[#This Row],[Platinum]]</f>
        <v>586404</v>
      </c>
      <c r="AL84" s="113">
        <f ca="1">TblProd[[#This Row],[Lumber]]</f>
        <v>39411</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4" s="113">
        <f ca="1">ROUNDDOWN( MAX(1 - MIN(facs_constr_factor*TblConstr[[#This Row],[Facs -DB]],facs_constr_max) + tech_1_11*TblTech[[#This Row],[11-1]] + tech_6_3_2*TblTech[[#This Row],[6-3]] + tech_5_2_3*TblTech[[#This Row],[5-2]], 1-global_constr_cap) * TblConstr[[#This Row],[RCPA Lumber]],0)</f>
        <v>147</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4" s="113">
        <f ca="1">ROUNDDOWN( MAX(1 - MIN(facs_constr_factor*TblConstr[[#This Row],[Facs DB]],facs_constr_max) + tech_1_11*TblTech[[#This Row],[1-11]] + tech_6_3_2*TblTech[[#This Row],[6-3]] + tech_5_2_3*TblTech[[#This Row],[5-2]], 1-global_constr_cap) * TblConstr[[#This Row],[RCPA Lumber]],0)</f>
        <v>147</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1386</v>
      </c>
      <c r="AW84" s="113">
        <f ca="1">ROUND((MAX(TblConstr[[#This Row],[Buildings]],250,0.75*TblConstr[[#This Row],[Land]])-250) * 0.35+87.5,0)</f>
        <v>210</v>
      </c>
      <c r="AX84" s="200"/>
      <c r="AY84" s="243" cm="1">
        <f t="array" aca="1" ref="AY84" ca="1">IF(TblConstr[[#This Row],[Hour]:[Hour]]&gt;12,OFFSET(TblConstr[[#This Row],[Hom]],-12,0),0)+OFFSET(TblConstr[[#This Row],[Tot Hom]],-1,0)-TblConstr[[#This Row],[Dest Hom]]</f>
        <v>48</v>
      </c>
      <c r="AZ84" s="244" cm="1">
        <f t="array" aca="1" ref="AZ84" ca="1">IF(TblConstr[[#This Row],[Hour]:[Hour]]&gt;12,OFFSET(TblConstr[[#This Row],[Alc]],-12,0),0)+OFFSET(TblConstr[[#This Row],[Tot Alc]],-1,0)-TblConstr[[#This Row],[Dest Alc]]</f>
        <v>264</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108</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30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45</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15</v>
      </c>
      <c r="BM84" s="488" cm="1">
        <f t="array" aca="1" ref="BM84" ca="1">IF(TblConstr[[#This Row],[Hour]:[Hour]]&gt;12,OFFSET(TblConstr[[#This Row],[Tem]],-12,0),0)+OFFSET(TblConstr[[#This Row],[Tot Tem]],-1,0)-TblConstr[[#This Row],[Dest Tem]]</f>
        <v>20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20</v>
      </c>
      <c r="BR84" s="184"/>
      <c r="BS84" s="200"/>
      <c r="BT84" s="113">
        <f ca="1">TblConstr[[#This Row],[Land]]</f>
        <v>600</v>
      </c>
      <c r="BU84" s="205">
        <f ca="1">TblImps[[#This Row],[Time]]</f>
        <v>44408.083333333139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402</v>
      </c>
      <c r="DA84" s="113">
        <f t="shared" ca="1" si="24"/>
        <v>20</v>
      </c>
      <c r="DB84" s="49">
        <f t="shared" ca="1" si="25"/>
        <v>30</v>
      </c>
      <c r="DC84" s="113">
        <f t="shared" ca="1" si="26"/>
        <v>45</v>
      </c>
      <c r="DD84" s="113">
        <f t="shared" ca="1" si="27"/>
        <v>35</v>
      </c>
      <c r="DE84" s="49">
        <f t="shared" ca="1" si="28"/>
        <v>0</v>
      </c>
      <c r="DF84" s="113">
        <f t="shared" ca="1" si="29"/>
        <v>20</v>
      </c>
      <c r="DG84" s="113" cm="1">
        <f t="array" aca="1" ref="DG84" ca="1">INDEX(TblConstr[[Total Plain]:[Total Water]],ROW()-ROW(TblConstr[#Headers]),MATCH("Total "&amp;home_land,TblConstr[[#Headers],[Total Plain]:[Total Water]],0))+TblConstr[[#This Row],[Homes]]</f>
        <v>450</v>
      </c>
      <c r="DH84" s="49">
        <f t="shared" ca="1" si="22"/>
        <v>48</v>
      </c>
      <c r="DI84" s="49">
        <f t="shared" ca="1" si="19"/>
        <v>0</v>
      </c>
      <c r="DJ84" s="49">
        <f t="shared" ca="1" si="20"/>
        <v>0</v>
      </c>
    </row>
    <row r="85" spans="1:114" x14ac:dyDescent="0.2">
      <c r="A85" s="228">
        <f>TblRezone[[#This Row],[Hour]]</f>
        <v>82</v>
      </c>
      <c r="B85" s="229">
        <f ca="1">SUM(TblConstr[[#This Row],[Plain]:[Water]])</f>
        <v>0</v>
      </c>
      <c r="C85" s="230">
        <f ca="1">SUM(TblConstr[[#This Row],[Tot Hom]:[Tot Doc]])</f>
        <v>600</v>
      </c>
      <c r="D85" s="230">
        <f t="shared" si="21"/>
        <v>0</v>
      </c>
      <c r="E85" s="231"/>
      <c r="F85" s="74">
        <f ca="1">TblConstr[[#This Row],[Barren]]+TblConstr[[#This Row],[Buildings]]+TblConstr[[#This Row],[Incoming]]</f>
        <v>600</v>
      </c>
      <c r="G85" s="242">
        <f ca="1">OFFSET(TblConstr[[#This Row],[Plain]],-1,0)+TblConstr[[#This Row],[Ch_Plain]]</f>
        <v>0</v>
      </c>
      <c r="H85" s="236">
        <f ca="1">OFFSET(TblConstr[[#This Row],[Forest]],-1,0)+TblConstr[[#This Row],[Ch_Forest]]</f>
        <v>0</v>
      </c>
      <c r="I85" s="478">
        <f ca="1">OFFSET(TblConstr[[#This Row],[Mountain]],-1,0)+TblConstr[[#This Row],[Ch_Mountain]]</f>
        <v>0</v>
      </c>
      <c r="J85" s="482">
        <f ca="1">OFFSET(TblConstr[[#This Row],[Hill]],-1,0)+TblConstr[[#This Row],[Ch_Hill]]</f>
        <v>0</v>
      </c>
      <c r="K85" s="486">
        <f ca="1">OFFSET(TblConstr[[#This Row],[Swamp]],-1,0)+TblConstr[[#This Row],[Ch_Swamp]]</f>
        <v>0</v>
      </c>
      <c r="L85" s="239">
        <f ca="1">OFFSET(TblConstr[[#This Row],[Cavern]],-1,0)+TblConstr[[#This Row],[Ch_Cavern]]</f>
        <v>0</v>
      </c>
      <c r="M85" s="240">
        <f ca="1">OFFSET(TblConstr[[#This Row],[Water]],-1,0)+TblConstr[[#This Row],[Ch_Water]]</f>
        <v>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44408.124999999804</v>
      </c>
      <c r="AI85" s="234">
        <f ca="1">MIN(25%,(TblConstr[[#This Row],[Tot Fac]]+TblConstr[[#This Row],[Dest Fac]])/(TblConstr[[#This Row],[Land]]-TblExplore[[#This Row],[Land Bonus]]*20))</f>
        <v>7.4999999999999997E-2</v>
      </c>
      <c r="AJ85" s="234">
        <f ca="1">MIN(25%,(TblConstr[[#This Row],[Tot Fac]]+TblConstr[[#This Row],[Dest Fac]])/TblConstr[[#This Row],[Land]])</f>
        <v>7.4999999999999997E-2</v>
      </c>
      <c r="AK85" s="113">
        <f ca="1">TblProd[[#This Row],[Platinum]]</f>
        <v>616676</v>
      </c>
      <c r="AL85" s="113">
        <f ca="1">TblProd[[#This Row],[Lumber]]</f>
        <v>40017</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5" s="113">
        <f ca="1">ROUNDDOWN( MAX(1 - MIN(facs_constr_factor*TblConstr[[#This Row],[Facs -DB]],facs_constr_max) + tech_1_11*TblTech[[#This Row],[11-1]] + tech_6_3_2*TblTech[[#This Row],[6-3]] + tech_5_2_3*TblTech[[#This Row],[5-2]], 1-global_constr_cap) * TblConstr[[#This Row],[RCPA Lumber]],0)</f>
        <v>147</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5" s="113">
        <f ca="1">ROUNDDOWN( MAX(1 - MIN(facs_constr_factor*TblConstr[[#This Row],[Facs DB]],facs_constr_max) + tech_1_11*TblTech[[#This Row],[1-11]] + tech_6_3_2*TblTech[[#This Row],[6-3]] + tech_5_2_3*TblTech[[#This Row],[5-2]], 1-global_constr_cap) * TblConstr[[#This Row],[RCPA Lumber]],0)</f>
        <v>147</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1386</v>
      </c>
      <c r="AW85" s="113">
        <f ca="1">ROUND((MAX(TblConstr[[#This Row],[Buildings]],250,0.75*TblConstr[[#This Row],[Land]])-250) * 0.35+87.5,0)</f>
        <v>210</v>
      </c>
      <c r="AX85" s="200"/>
      <c r="AY85" s="243" cm="1">
        <f t="array" aca="1" ref="AY85" ca="1">IF(TblConstr[[#This Row],[Hour]:[Hour]]&gt;12,OFFSET(TblConstr[[#This Row],[Hom]],-12,0),0)+OFFSET(TblConstr[[#This Row],[Tot Hom]],-1,0)-TblConstr[[#This Row],[Dest Hom]]</f>
        <v>48</v>
      </c>
      <c r="AZ85" s="244" cm="1">
        <f t="array" aca="1" ref="AZ85" ca="1">IF(TblConstr[[#This Row],[Hour]:[Hour]]&gt;12,OFFSET(TblConstr[[#This Row],[Alc]],-12,0),0)+OFFSET(TblConstr[[#This Row],[Tot Alc]],-1,0)-TblConstr[[#This Row],[Dest Alc]]</f>
        <v>264</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108</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30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45</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15</v>
      </c>
      <c r="BM85" s="488" cm="1">
        <f t="array" aca="1" ref="BM85" ca="1">IF(TblConstr[[#This Row],[Hour]:[Hour]]&gt;12,OFFSET(TblConstr[[#This Row],[Tem]],-12,0),0)+OFFSET(TblConstr[[#This Row],[Tot Tem]],-1,0)-TblConstr[[#This Row],[Dest Tem]]</f>
        <v>20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20</v>
      </c>
      <c r="BR85" s="184"/>
      <c r="BS85" s="200"/>
      <c r="BT85" s="113">
        <f ca="1">TblConstr[[#This Row],[Land]]</f>
        <v>600</v>
      </c>
      <c r="BU85" s="205">
        <f ca="1">TblImps[[#This Row],[Time]]</f>
        <v>44408.124999999804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402</v>
      </c>
      <c r="DA85" s="113">
        <f t="shared" ca="1" si="24"/>
        <v>20</v>
      </c>
      <c r="DB85" s="49">
        <f t="shared" ca="1" si="25"/>
        <v>30</v>
      </c>
      <c r="DC85" s="113">
        <f t="shared" ca="1" si="26"/>
        <v>45</v>
      </c>
      <c r="DD85" s="113">
        <f t="shared" ca="1" si="27"/>
        <v>35</v>
      </c>
      <c r="DE85" s="49">
        <f t="shared" ca="1" si="28"/>
        <v>0</v>
      </c>
      <c r="DF85" s="113">
        <f t="shared" ca="1" si="29"/>
        <v>20</v>
      </c>
      <c r="DG85" s="113" cm="1">
        <f t="array" aca="1" ref="DG85" ca="1">INDEX(TblConstr[[Total Plain]:[Total Water]],ROW()-ROW(TblConstr[#Headers]),MATCH("Total "&amp;home_land,TblConstr[[#Headers],[Total Plain]:[Total Water]],0))+TblConstr[[#This Row],[Homes]]</f>
        <v>450</v>
      </c>
      <c r="DH85" s="49">
        <f t="shared" ca="1" si="22"/>
        <v>48</v>
      </c>
      <c r="DI85" s="49">
        <f t="shared" ca="1" si="19"/>
        <v>0</v>
      </c>
      <c r="DJ85" s="49">
        <f t="shared" ca="1" si="20"/>
        <v>0</v>
      </c>
    </row>
    <row r="86" spans="1:114" x14ac:dyDescent="0.2">
      <c r="A86" s="228">
        <f>TblRezone[[#This Row],[Hour]]</f>
        <v>83</v>
      </c>
      <c r="B86" s="229">
        <f ca="1">SUM(TblConstr[[#This Row],[Plain]:[Water]])</f>
        <v>0</v>
      </c>
      <c r="C86" s="230">
        <f ca="1">SUM(TblConstr[[#This Row],[Tot Hom]:[Tot Doc]])</f>
        <v>600</v>
      </c>
      <c r="D86" s="230">
        <f t="shared" si="21"/>
        <v>0</v>
      </c>
      <c r="E86" s="231"/>
      <c r="F86" s="74">
        <f ca="1">TblConstr[[#This Row],[Barren]]+TblConstr[[#This Row],[Buildings]]+TblConstr[[#This Row],[Incoming]]</f>
        <v>600</v>
      </c>
      <c r="G86" s="242">
        <f ca="1">OFFSET(TblConstr[[#This Row],[Plain]],-1,0)+TblConstr[[#This Row],[Ch_Plain]]</f>
        <v>0</v>
      </c>
      <c r="H86" s="236">
        <f ca="1">OFFSET(TblConstr[[#This Row],[Forest]],-1,0)+TblConstr[[#This Row],[Ch_Forest]]</f>
        <v>0</v>
      </c>
      <c r="I86" s="478">
        <f ca="1">OFFSET(TblConstr[[#This Row],[Mountain]],-1,0)+TblConstr[[#This Row],[Ch_Mountain]]</f>
        <v>0</v>
      </c>
      <c r="J86" s="482">
        <f ca="1">OFFSET(TblConstr[[#This Row],[Hill]],-1,0)+TblConstr[[#This Row],[Ch_Hill]]</f>
        <v>0</v>
      </c>
      <c r="K86" s="486">
        <f ca="1">OFFSET(TblConstr[[#This Row],[Swamp]],-1,0)+TblConstr[[#This Row],[Ch_Swamp]]</f>
        <v>0</v>
      </c>
      <c r="L86" s="239">
        <f ca="1">OFFSET(TblConstr[[#This Row],[Cavern]],-1,0)+TblConstr[[#This Row],[Ch_Cavern]]</f>
        <v>0</v>
      </c>
      <c r="M86" s="240">
        <f ca="1">OFFSET(TblConstr[[#This Row],[Water]],-1,0)+TblConstr[[#This Row],[Ch_Water]]</f>
        <v>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44408.166666666468</v>
      </c>
      <c r="AI86" s="234">
        <f ca="1">MIN(25%,(TblConstr[[#This Row],[Tot Fac]]+TblConstr[[#This Row],[Dest Fac]])/(TblConstr[[#This Row],[Land]]-TblExplore[[#This Row],[Land Bonus]]*20))</f>
        <v>7.4999999999999997E-2</v>
      </c>
      <c r="AJ86" s="234">
        <f ca="1">MIN(25%,(TblConstr[[#This Row],[Tot Fac]]+TblConstr[[#This Row],[Dest Fac]])/TblConstr[[#This Row],[Land]])</f>
        <v>7.4999999999999997E-2</v>
      </c>
      <c r="AK86" s="113">
        <f ca="1">TblProd[[#This Row],[Platinum]]</f>
        <v>646764</v>
      </c>
      <c r="AL86" s="113">
        <f ca="1">TblProd[[#This Row],[Lumber]]</f>
        <v>40617</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6" s="113">
        <f ca="1">ROUNDDOWN( MAX(1 - MIN(facs_constr_factor*TblConstr[[#This Row],[Facs -DB]],facs_constr_max) + tech_1_11*TblTech[[#This Row],[11-1]] + tech_6_3_2*TblTech[[#This Row],[6-3]] + tech_5_2_3*TblTech[[#This Row],[5-2]], 1-global_constr_cap) * TblConstr[[#This Row],[RCPA Lumber]],0)</f>
        <v>147</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6" s="113">
        <f ca="1">ROUNDDOWN( MAX(1 - MIN(facs_constr_factor*TblConstr[[#This Row],[Facs DB]],facs_constr_max) + tech_1_11*TblTech[[#This Row],[1-11]] + tech_6_3_2*TblTech[[#This Row],[6-3]] + tech_5_2_3*TblTech[[#This Row],[5-2]], 1-global_constr_cap) * TblConstr[[#This Row],[RCPA Lumber]],0)</f>
        <v>147</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1386</v>
      </c>
      <c r="AW86" s="113">
        <f ca="1">ROUND((MAX(TblConstr[[#This Row],[Buildings]],250,0.75*TblConstr[[#This Row],[Land]])-250) * 0.35+87.5,0)</f>
        <v>210</v>
      </c>
      <c r="AX86" s="200"/>
      <c r="AY86" s="243" cm="1">
        <f t="array" aca="1" ref="AY86" ca="1">IF(TblConstr[[#This Row],[Hour]:[Hour]]&gt;12,OFFSET(TblConstr[[#This Row],[Hom]],-12,0),0)+OFFSET(TblConstr[[#This Row],[Tot Hom]],-1,0)-TblConstr[[#This Row],[Dest Hom]]</f>
        <v>48</v>
      </c>
      <c r="AZ86" s="244" cm="1">
        <f t="array" aca="1" ref="AZ86" ca="1">IF(TblConstr[[#This Row],[Hour]:[Hour]]&gt;12,OFFSET(TblConstr[[#This Row],[Alc]],-12,0),0)+OFFSET(TblConstr[[#This Row],[Tot Alc]],-1,0)-TblConstr[[#This Row],[Dest Alc]]</f>
        <v>264</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108</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30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45</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15</v>
      </c>
      <c r="BM86" s="488" cm="1">
        <f t="array" aca="1" ref="BM86" ca="1">IF(TblConstr[[#This Row],[Hour]:[Hour]]&gt;12,OFFSET(TblConstr[[#This Row],[Tem]],-12,0),0)+OFFSET(TblConstr[[#This Row],[Tot Tem]],-1,0)-TblConstr[[#This Row],[Dest Tem]]</f>
        <v>20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20</v>
      </c>
      <c r="BR86" s="184"/>
      <c r="BS86" s="200"/>
      <c r="BT86" s="113">
        <f ca="1">TblConstr[[#This Row],[Land]]</f>
        <v>600</v>
      </c>
      <c r="BU86" s="205">
        <f ca="1">TblImps[[#This Row],[Time]]</f>
        <v>44408.166666666468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402</v>
      </c>
      <c r="DA86" s="113">
        <f t="shared" ca="1" si="24"/>
        <v>20</v>
      </c>
      <c r="DB86" s="49">
        <f t="shared" ca="1" si="25"/>
        <v>30</v>
      </c>
      <c r="DC86" s="113">
        <f t="shared" ca="1" si="26"/>
        <v>45</v>
      </c>
      <c r="DD86" s="113">
        <f t="shared" ca="1" si="27"/>
        <v>35</v>
      </c>
      <c r="DE86" s="49">
        <f t="shared" ca="1" si="28"/>
        <v>0</v>
      </c>
      <c r="DF86" s="113">
        <f t="shared" ca="1" si="29"/>
        <v>20</v>
      </c>
      <c r="DG86" s="113" cm="1">
        <f t="array" aca="1" ref="DG86" ca="1">INDEX(TblConstr[[Total Plain]:[Total Water]],ROW()-ROW(TblConstr[#Headers]),MATCH("Total "&amp;home_land,TblConstr[[#Headers],[Total Plain]:[Total Water]],0))+TblConstr[[#This Row],[Homes]]</f>
        <v>450</v>
      </c>
      <c r="DH86" s="49">
        <f t="shared" ca="1" si="22"/>
        <v>48</v>
      </c>
      <c r="DI86" s="49">
        <f t="shared" ca="1" si="19"/>
        <v>0</v>
      </c>
      <c r="DJ86" s="49">
        <f t="shared" ca="1" si="20"/>
        <v>0</v>
      </c>
    </row>
    <row r="87" spans="1:114" x14ac:dyDescent="0.2">
      <c r="A87" s="228">
        <f>TblRezone[[#This Row],[Hour]]</f>
        <v>84</v>
      </c>
      <c r="B87" s="229">
        <f ca="1">SUM(TblConstr[[#This Row],[Plain]:[Water]])</f>
        <v>0</v>
      </c>
      <c r="C87" s="230">
        <f ca="1">SUM(TblConstr[[#This Row],[Tot Hom]:[Tot Doc]])</f>
        <v>600</v>
      </c>
      <c r="D87" s="230">
        <f t="shared" si="21"/>
        <v>0</v>
      </c>
      <c r="E87" s="231"/>
      <c r="F87" s="74">
        <f ca="1">TblConstr[[#This Row],[Barren]]+TblConstr[[#This Row],[Buildings]]+TblConstr[[#This Row],[Incoming]]</f>
        <v>600</v>
      </c>
      <c r="G87" s="242">
        <f ca="1">OFFSET(TblConstr[[#This Row],[Plain]],-1,0)+TblConstr[[#This Row],[Ch_Plain]]</f>
        <v>0</v>
      </c>
      <c r="H87" s="236">
        <f ca="1">OFFSET(TblConstr[[#This Row],[Forest]],-1,0)+TblConstr[[#This Row],[Ch_Forest]]</f>
        <v>0</v>
      </c>
      <c r="I87" s="478">
        <f ca="1">OFFSET(TblConstr[[#This Row],[Mountain]],-1,0)+TblConstr[[#This Row],[Ch_Mountain]]</f>
        <v>0</v>
      </c>
      <c r="J87" s="482">
        <f ca="1">OFFSET(TblConstr[[#This Row],[Hill]],-1,0)+TblConstr[[#This Row],[Ch_Hill]]</f>
        <v>0</v>
      </c>
      <c r="K87" s="486">
        <f ca="1">OFFSET(TblConstr[[#This Row],[Swamp]],-1,0)+TblConstr[[#This Row],[Ch_Swamp]]</f>
        <v>0</v>
      </c>
      <c r="L87" s="239">
        <f ca="1">OFFSET(TblConstr[[#This Row],[Cavern]],-1,0)+TblConstr[[#This Row],[Ch_Cavern]]</f>
        <v>0</v>
      </c>
      <c r="M87" s="240">
        <f ca="1">OFFSET(TblConstr[[#This Row],[Water]],-1,0)+TblConstr[[#This Row],[Ch_Water]]</f>
        <v>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44408.208333333132</v>
      </c>
      <c r="AI87" s="234">
        <f ca="1">MIN(25%,(TblConstr[[#This Row],[Tot Fac]]+TblConstr[[#This Row],[Dest Fac]])/(TblConstr[[#This Row],[Land]]-TblExplore[[#This Row],[Land Bonus]]*20))</f>
        <v>7.4999999999999997E-2</v>
      </c>
      <c r="AJ87" s="234">
        <f ca="1">MIN(25%,(TblConstr[[#This Row],[Tot Fac]]+TblConstr[[#This Row],[Dest Fac]])/TblConstr[[#This Row],[Land]])</f>
        <v>7.4999999999999997E-2</v>
      </c>
      <c r="AK87" s="113">
        <f ca="1">TblProd[[#This Row],[Platinum]]</f>
        <v>676671</v>
      </c>
      <c r="AL87" s="113">
        <f ca="1">TblProd[[#This Row],[Lumber]]</f>
        <v>41211</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7" s="113">
        <f ca="1">ROUNDDOWN( MAX(1 - MIN(facs_constr_factor*TblConstr[[#This Row],[Facs -DB]],facs_constr_max) + tech_1_11*TblTech[[#This Row],[11-1]] + tech_6_3_2*TblTech[[#This Row],[6-3]] + tech_5_2_3*TblTech[[#This Row],[5-2]], 1-global_constr_cap) * TblConstr[[#This Row],[RCPA Lumber]],0)</f>
        <v>147</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7" s="113">
        <f ca="1">ROUNDDOWN( MAX(1 - MIN(facs_constr_factor*TblConstr[[#This Row],[Facs DB]],facs_constr_max) + tech_1_11*TblTech[[#This Row],[1-11]] + tech_6_3_2*TblTech[[#This Row],[6-3]] + tech_5_2_3*TblTech[[#This Row],[5-2]], 1-global_constr_cap) * TblConstr[[#This Row],[RCPA Lumber]],0)</f>
        <v>147</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1386</v>
      </c>
      <c r="AW87" s="113">
        <f ca="1">ROUND((MAX(TblConstr[[#This Row],[Buildings]],250,0.75*TblConstr[[#This Row],[Land]])-250) * 0.35+87.5,0)</f>
        <v>210</v>
      </c>
      <c r="AX87" s="200"/>
      <c r="AY87" s="243" cm="1">
        <f t="array" aca="1" ref="AY87" ca="1">IF(TblConstr[[#This Row],[Hour]:[Hour]]&gt;12,OFFSET(TblConstr[[#This Row],[Hom]],-12,0),0)+OFFSET(TblConstr[[#This Row],[Tot Hom]],-1,0)-TblConstr[[#This Row],[Dest Hom]]</f>
        <v>48</v>
      </c>
      <c r="AZ87" s="244" cm="1">
        <f t="array" aca="1" ref="AZ87" ca="1">IF(TblConstr[[#This Row],[Hour]:[Hour]]&gt;12,OFFSET(TblConstr[[#This Row],[Alc]],-12,0),0)+OFFSET(TblConstr[[#This Row],[Tot Alc]],-1,0)-TblConstr[[#This Row],[Dest Alc]]</f>
        <v>264</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108</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30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45</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15</v>
      </c>
      <c r="BM87" s="488" cm="1">
        <f t="array" aca="1" ref="BM87" ca="1">IF(TblConstr[[#This Row],[Hour]:[Hour]]&gt;12,OFFSET(TblConstr[[#This Row],[Tem]],-12,0),0)+OFFSET(TblConstr[[#This Row],[Tot Tem]],-1,0)-TblConstr[[#This Row],[Dest Tem]]</f>
        <v>20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20</v>
      </c>
      <c r="BR87" s="184"/>
      <c r="BS87" s="200"/>
      <c r="BT87" s="113">
        <f ca="1">TblConstr[[#This Row],[Land]]</f>
        <v>600</v>
      </c>
      <c r="BU87" s="205">
        <f ca="1">TblImps[[#This Row],[Time]]</f>
        <v>44408.208333333132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402</v>
      </c>
      <c r="DA87" s="113">
        <f t="shared" ca="1" si="24"/>
        <v>20</v>
      </c>
      <c r="DB87" s="49">
        <f t="shared" ca="1" si="25"/>
        <v>30</v>
      </c>
      <c r="DC87" s="113">
        <f t="shared" ca="1" si="26"/>
        <v>45</v>
      </c>
      <c r="DD87" s="113">
        <f t="shared" ca="1" si="27"/>
        <v>35</v>
      </c>
      <c r="DE87" s="49">
        <f t="shared" ca="1" si="28"/>
        <v>0</v>
      </c>
      <c r="DF87" s="113">
        <f t="shared" ca="1" si="29"/>
        <v>20</v>
      </c>
      <c r="DG87" s="113" cm="1">
        <f t="array" aca="1" ref="DG87" ca="1">INDEX(TblConstr[[Total Plain]:[Total Water]],ROW()-ROW(TblConstr[#Headers]),MATCH("Total "&amp;home_land,TblConstr[[#Headers],[Total Plain]:[Total Water]],0))+TblConstr[[#This Row],[Homes]]</f>
        <v>450</v>
      </c>
      <c r="DH87" s="49">
        <f t="shared" ca="1" si="22"/>
        <v>48</v>
      </c>
      <c r="DI87" s="49">
        <f t="shared" ca="1" si="19"/>
        <v>0</v>
      </c>
      <c r="DJ87" s="49">
        <f t="shared" ca="1" si="20"/>
        <v>0</v>
      </c>
    </row>
    <row r="88" spans="1:114" x14ac:dyDescent="0.2">
      <c r="A88" s="228">
        <f>TblRezone[[#This Row],[Hour]]</f>
        <v>85</v>
      </c>
      <c r="B88" s="229">
        <f ca="1">SUM(TblConstr[[#This Row],[Plain]:[Water]])</f>
        <v>0</v>
      </c>
      <c r="C88" s="230">
        <f ca="1">SUM(TblConstr[[#This Row],[Tot Hom]:[Tot Doc]])</f>
        <v>600</v>
      </c>
      <c r="D88" s="230">
        <f t="shared" si="21"/>
        <v>0</v>
      </c>
      <c r="E88" s="231"/>
      <c r="F88" s="74">
        <f ca="1">TblConstr[[#This Row],[Barren]]+TblConstr[[#This Row],[Buildings]]+TblConstr[[#This Row],[Incoming]]</f>
        <v>600</v>
      </c>
      <c r="G88" s="242">
        <f ca="1">OFFSET(TblConstr[[#This Row],[Plain]],-1,0)+TblConstr[[#This Row],[Ch_Plain]]</f>
        <v>0</v>
      </c>
      <c r="H88" s="236">
        <f ca="1">OFFSET(TblConstr[[#This Row],[Forest]],-1,0)+TblConstr[[#This Row],[Ch_Forest]]</f>
        <v>0</v>
      </c>
      <c r="I88" s="478">
        <f ca="1">OFFSET(TblConstr[[#This Row],[Mountain]],-1,0)+TblConstr[[#This Row],[Ch_Mountain]]</f>
        <v>0</v>
      </c>
      <c r="J88" s="482">
        <f ca="1">OFFSET(TblConstr[[#This Row],[Hill]],-1,0)+TblConstr[[#This Row],[Ch_Hill]]</f>
        <v>0</v>
      </c>
      <c r="K88" s="486">
        <f ca="1">OFFSET(TblConstr[[#This Row],[Swamp]],-1,0)+TblConstr[[#This Row],[Ch_Swamp]]</f>
        <v>0</v>
      </c>
      <c r="L88" s="239">
        <f ca="1">OFFSET(TblConstr[[#This Row],[Cavern]],-1,0)+TblConstr[[#This Row],[Ch_Cavern]]</f>
        <v>0</v>
      </c>
      <c r="M88" s="240">
        <f ca="1">OFFSET(TblConstr[[#This Row],[Water]],-1,0)+TblConstr[[#This Row],[Ch_Water]]</f>
        <v>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44408.249999999796</v>
      </c>
      <c r="AI88" s="234">
        <f ca="1">MIN(25%,(TblConstr[[#This Row],[Tot Fac]]+TblConstr[[#This Row],[Dest Fac]])/(TblConstr[[#This Row],[Land]]-TblExplore[[#This Row],[Land Bonus]]*20))</f>
        <v>7.4999999999999997E-2</v>
      </c>
      <c r="AJ88" s="234">
        <f ca="1">MIN(25%,(TblConstr[[#This Row],[Tot Fac]]+TblConstr[[#This Row],[Dest Fac]])/TblConstr[[#This Row],[Land]])</f>
        <v>7.4999999999999997E-2</v>
      </c>
      <c r="AK88" s="113">
        <f ca="1">TblProd[[#This Row],[Platinum]]</f>
        <v>706398</v>
      </c>
      <c r="AL88" s="113">
        <f ca="1">TblProd[[#This Row],[Lumber]]</f>
        <v>41799</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8" s="113">
        <f ca="1">ROUNDDOWN( MAX(1 - MIN(facs_constr_factor*TblConstr[[#This Row],[Facs -DB]],facs_constr_max) + tech_1_11*TblTech[[#This Row],[11-1]] + tech_6_3_2*TblTech[[#This Row],[6-3]] + tech_5_2_3*TblTech[[#This Row],[5-2]], 1-global_constr_cap) * TblConstr[[#This Row],[RCPA Lumber]],0)</f>
        <v>147</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8" s="113">
        <f ca="1">ROUNDDOWN( MAX(1 - MIN(facs_constr_factor*TblConstr[[#This Row],[Facs DB]],facs_constr_max) + tech_1_11*TblTech[[#This Row],[1-11]] + tech_6_3_2*TblTech[[#This Row],[6-3]] + tech_5_2_3*TblTech[[#This Row],[5-2]], 1-global_constr_cap) * TblConstr[[#This Row],[RCPA Lumber]],0)</f>
        <v>147</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1386</v>
      </c>
      <c r="AW88" s="113">
        <f ca="1">ROUND((MAX(TblConstr[[#This Row],[Buildings]],250,0.75*TblConstr[[#This Row],[Land]])-250) * 0.35+87.5,0)</f>
        <v>210</v>
      </c>
      <c r="AX88" s="200"/>
      <c r="AY88" s="243" cm="1">
        <f t="array" aca="1" ref="AY88" ca="1">IF(TblConstr[[#This Row],[Hour]:[Hour]]&gt;12,OFFSET(TblConstr[[#This Row],[Hom]],-12,0),0)+OFFSET(TblConstr[[#This Row],[Tot Hom]],-1,0)-TblConstr[[#This Row],[Dest Hom]]</f>
        <v>48</v>
      </c>
      <c r="AZ88" s="244" cm="1">
        <f t="array" aca="1" ref="AZ88" ca="1">IF(TblConstr[[#This Row],[Hour]:[Hour]]&gt;12,OFFSET(TblConstr[[#This Row],[Alc]],-12,0),0)+OFFSET(TblConstr[[#This Row],[Tot Alc]],-1,0)-TblConstr[[#This Row],[Dest Alc]]</f>
        <v>264</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108</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30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45</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15</v>
      </c>
      <c r="BM88" s="488" cm="1">
        <f t="array" aca="1" ref="BM88" ca="1">IF(TblConstr[[#This Row],[Hour]:[Hour]]&gt;12,OFFSET(TblConstr[[#This Row],[Tem]],-12,0),0)+OFFSET(TblConstr[[#This Row],[Tot Tem]],-1,0)-TblConstr[[#This Row],[Dest Tem]]</f>
        <v>20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20</v>
      </c>
      <c r="BR88" s="184"/>
      <c r="BS88" s="200"/>
      <c r="BT88" s="113">
        <f ca="1">TblConstr[[#This Row],[Land]]</f>
        <v>600</v>
      </c>
      <c r="BU88" s="205">
        <f ca="1">TblImps[[#This Row],[Time]]</f>
        <v>44408.249999999796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402</v>
      </c>
      <c r="DA88" s="113">
        <f t="shared" ca="1" si="24"/>
        <v>20</v>
      </c>
      <c r="DB88" s="49">
        <f t="shared" ca="1" si="25"/>
        <v>30</v>
      </c>
      <c r="DC88" s="113">
        <f t="shared" ca="1" si="26"/>
        <v>45</v>
      </c>
      <c r="DD88" s="113">
        <f t="shared" ca="1" si="27"/>
        <v>35</v>
      </c>
      <c r="DE88" s="49">
        <f t="shared" ca="1" si="28"/>
        <v>0</v>
      </c>
      <c r="DF88" s="113">
        <f t="shared" ca="1" si="29"/>
        <v>20</v>
      </c>
      <c r="DG88" s="113" cm="1">
        <f t="array" aca="1" ref="DG88" ca="1">INDEX(TblConstr[[Total Plain]:[Total Water]],ROW()-ROW(TblConstr[#Headers]),MATCH("Total "&amp;home_land,TblConstr[[#Headers],[Total Plain]:[Total Water]],0))+TblConstr[[#This Row],[Homes]]</f>
        <v>450</v>
      </c>
      <c r="DH88" s="49">
        <f t="shared" ca="1" si="22"/>
        <v>48</v>
      </c>
      <c r="DI88" s="49">
        <f t="shared" ca="1" si="19"/>
        <v>0</v>
      </c>
      <c r="DJ88" s="49">
        <f t="shared" ca="1" si="20"/>
        <v>0</v>
      </c>
    </row>
    <row r="89" spans="1:114" x14ac:dyDescent="0.2">
      <c r="A89" s="228">
        <f>TblRezone[[#This Row],[Hour]]</f>
        <v>86</v>
      </c>
      <c r="B89" s="229">
        <f ca="1">SUM(TblConstr[[#This Row],[Plain]:[Water]])</f>
        <v>0</v>
      </c>
      <c r="C89" s="230">
        <f ca="1">SUM(TblConstr[[#This Row],[Tot Hom]:[Tot Doc]])</f>
        <v>600</v>
      </c>
      <c r="D89" s="230">
        <f t="shared" si="21"/>
        <v>0</v>
      </c>
      <c r="E89" s="231"/>
      <c r="F89" s="74">
        <f ca="1">TblConstr[[#This Row],[Barren]]+TblConstr[[#This Row],[Buildings]]+TblConstr[[#This Row],[Incoming]]</f>
        <v>600</v>
      </c>
      <c r="G89" s="242">
        <f ca="1">OFFSET(TblConstr[[#This Row],[Plain]],-1,0)+TblConstr[[#This Row],[Ch_Plain]]</f>
        <v>0</v>
      </c>
      <c r="H89" s="236">
        <f ca="1">OFFSET(TblConstr[[#This Row],[Forest]],-1,0)+TblConstr[[#This Row],[Ch_Forest]]</f>
        <v>0</v>
      </c>
      <c r="I89" s="478">
        <f ca="1">OFFSET(TblConstr[[#This Row],[Mountain]],-1,0)+TblConstr[[#This Row],[Ch_Mountain]]</f>
        <v>0</v>
      </c>
      <c r="J89" s="482">
        <f ca="1">OFFSET(TblConstr[[#This Row],[Hill]],-1,0)+TblConstr[[#This Row],[Ch_Hill]]</f>
        <v>0</v>
      </c>
      <c r="K89" s="486">
        <f ca="1">OFFSET(TblConstr[[#This Row],[Swamp]],-1,0)+TblConstr[[#This Row],[Ch_Swamp]]</f>
        <v>0</v>
      </c>
      <c r="L89" s="239">
        <f ca="1">OFFSET(TblConstr[[#This Row],[Cavern]],-1,0)+TblConstr[[#This Row],[Ch_Cavern]]</f>
        <v>0</v>
      </c>
      <c r="M89" s="240">
        <f ca="1">OFFSET(TblConstr[[#This Row],[Water]],-1,0)+TblConstr[[#This Row],[Ch_Water]]</f>
        <v>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44408.291666666461</v>
      </c>
      <c r="AI89" s="234">
        <f ca="1">MIN(25%,(TblConstr[[#This Row],[Tot Fac]]+TblConstr[[#This Row],[Dest Fac]])/(TblConstr[[#This Row],[Land]]-TblExplore[[#This Row],[Land Bonus]]*20))</f>
        <v>7.4999999999999997E-2</v>
      </c>
      <c r="AJ89" s="234">
        <f ca="1">MIN(25%,(TblConstr[[#This Row],[Tot Fac]]+TblConstr[[#This Row],[Dest Fac]])/TblConstr[[#This Row],[Land]])</f>
        <v>7.4999999999999997E-2</v>
      </c>
      <c r="AK89" s="113">
        <f ca="1">TblProd[[#This Row],[Platinum]]</f>
        <v>735946</v>
      </c>
      <c r="AL89" s="113">
        <f ca="1">TblProd[[#This Row],[Lumber]]</f>
        <v>42381</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9" s="113">
        <f ca="1">ROUNDDOWN( MAX(1 - MIN(facs_constr_factor*TblConstr[[#This Row],[Facs -DB]],facs_constr_max) + tech_1_11*TblTech[[#This Row],[11-1]] + tech_6_3_2*TblTech[[#This Row],[6-3]] + tech_5_2_3*TblTech[[#This Row],[5-2]], 1-global_constr_cap) * TblConstr[[#This Row],[RCPA Lumber]],0)</f>
        <v>147</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9" s="113">
        <f ca="1">ROUNDDOWN( MAX(1 - MIN(facs_constr_factor*TblConstr[[#This Row],[Facs DB]],facs_constr_max) + tech_1_11*TblTech[[#This Row],[1-11]] + tech_6_3_2*TblTech[[#This Row],[6-3]] + tech_5_2_3*TblTech[[#This Row],[5-2]], 1-global_constr_cap) * TblConstr[[#This Row],[RCPA Lumber]],0)</f>
        <v>147</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1386</v>
      </c>
      <c r="AW89" s="113">
        <f ca="1">ROUND((MAX(TblConstr[[#This Row],[Buildings]],250,0.75*TblConstr[[#This Row],[Land]])-250) * 0.35+87.5,0)</f>
        <v>210</v>
      </c>
      <c r="AX89" s="200"/>
      <c r="AY89" s="243" cm="1">
        <f t="array" aca="1" ref="AY89" ca="1">IF(TblConstr[[#This Row],[Hour]:[Hour]]&gt;12,OFFSET(TblConstr[[#This Row],[Hom]],-12,0),0)+OFFSET(TblConstr[[#This Row],[Tot Hom]],-1,0)-TblConstr[[#This Row],[Dest Hom]]</f>
        <v>48</v>
      </c>
      <c r="AZ89" s="244" cm="1">
        <f t="array" aca="1" ref="AZ89" ca="1">IF(TblConstr[[#This Row],[Hour]:[Hour]]&gt;12,OFFSET(TblConstr[[#This Row],[Alc]],-12,0),0)+OFFSET(TblConstr[[#This Row],[Tot Alc]],-1,0)-TblConstr[[#This Row],[Dest Alc]]</f>
        <v>264</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108</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30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45</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15</v>
      </c>
      <c r="BM89" s="488" cm="1">
        <f t="array" aca="1" ref="BM89" ca="1">IF(TblConstr[[#This Row],[Hour]:[Hour]]&gt;12,OFFSET(TblConstr[[#This Row],[Tem]],-12,0),0)+OFFSET(TblConstr[[#This Row],[Tot Tem]],-1,0)-TblConstr[[#This Row],[Dest Tem]]</f>
        <v>20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20</v>
      </c>
      <c r="BR89" s="184"/>
      <c r="BS89" s="200"/>
      <c r="BT89" s="113">
        <f ca="1">TblConstr[[#This Row],[Land]]</f>
        <v>600</v>
      </c>
      <c r="BU89" s="205">
        <f ca="1">TblImps[[#This Row],[Time]]</f>
        <v>44408.291666666461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402</v>
      </c>
      <c r="DA89" s="113">
        <f t="shared" ca="1" si="24"/>
        <v>20</v>
      </c>
      <c r="DB89" s="49">
        <f t="shared" ca="1" si="25"/>
        <v>30</v>
      </c>
      <c r="DC89" s="113">
        <f t="shared" ca="1" si="26"/>
        <v>45</v>
      </c>
      <c r="DD89" s="113">
        <f t="shared" ca="1" si="27"/>
        <v>35</v>
      </c>
      <c r="DE89" s="49">
        <f t="shared" ca="1" si="28"/>
        <v>0</v>
      </c>
      <c r="DF89" s="113">
        <f t="shared" ca="1" si="29"/>
        <v>20</v>
      </c>
      <c r="DG89" s="113" cm="1">
        <f t="array" aca="1" ref="DG89" ca="1">INDEX(TblConstr[[Total Plain]:[Total Water]],ROW()-ROW(TblConstr[#Headers]),MATCH("Total "&amp;home_land,TblConstr[[#Headers],[Total Plain]:[Total Water]],0))+TblConstr[[#This Row],[Homes]]</f>
        <v>450</v>
      </c>
      <c r="DH89" s="49">
        <f t="shared" ca="1" si="22"/>
        <v>48</v>
      </c>
      <c r="DI89" s="49">
        <f t="shared" ca="1" si="19"/>
        <v>0</v>
      </c>
      <c r="DJ89" s="49">
        <f t="shared" ca="1" si="20"/>
        <v>0</v>
      </c>
    </row>
    <row r="90" spans="1:114" x14ac:dyDescent="0.2">
      <c r="A90" s="228">
        <f>TblRezone[[#This Row],[Hour]]</f>
        <v>87</v>
      </c>
      <c r="B90" s="229">
        <f ca="1">SUM(TblConstr[[#This Row],[Plain]:[Water]])</f>
        <v>0</v>
      </c>
      <c r="C90" s="230">
        <f ca="1">SUM(TblConstr[[#This Row],[Tot Hom]:[Tot Doc]])</f>
        <v>600</v>
      </c>
      <c r="D90" s="230">
        <f t="shared" si="21"/>
        <v>0</v>
      </c>
      <c r="E90" s="231"/>
      <c r="F90" s="74">
        <f ca="1">TblConstr[[#This Row],[Barren]]+TblConstr[[#This Row],[Buildings]]+TblConstr[[#This Row],[Incoming]]</f>
        <v>600</v>
      </c>
      <c r="G90" s="242">
        <f ca="1">OFFSET(TblConstr[[#This Row],[Plain]],-1,0)+TblConstr[[#This Row],[Ch_Plain]]</f>
        <v>0</v>
      </c>
      <c r="H90" s="236">
        <f ca="1">OFFSET(TblConstr[[#This Row],[Forest]],-1,0)+TblConstr[[#This Row],[Ch_Forest]]</f>
        <v>0</v>
      </c>
      <c r="I90" s="478">
        <f ca="1">OFFSET(TblConstr[[#This Row],[Mountain]],-1,0)+TblConstr[[#This Row],[Ch_Mountain]]</f>
        <v>0</v>
      </c>
      <c r="J90" s="482">
        <f ca="1">OFFSET(TblConstr[[#This Row],[Hill]],-1,0)+TblConstr[[#This Row],[Ch_Hill]]</f>
        <v>0</v>
      </c>
      <c r="K90" s="486">
        <f ca="1">OFFSET(TblConstr[[#This Row],[Swamp]],-1,0)+TblConstr[[#This Row],[Ch_Swamp]]</f>
        <v>0</v>
      </c>
      <c r="L90" s="239">
        <f ca="1">OFFSET(TblConstr[[#This Row],[Cavern]],-1,0)+TblConstr[[#This Row],[Ch_Cavern]]</f>
        <v>0</v>
      </c>
      <c r="M90" s="240">
        <f ca="1">OFFSET(TblConstr[[#This Row],[Water]],-1,0)+TblConstr[[#This Row],[Ch_Water]]</f>
        <v>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44408.333333333125</v>
      </c>
      <c r="AI90" s="234">
        <f ca="1">MIN(25%,(TblConstr[[#This Row],[Tot Fac]]+TblConstr[[#This Row],[Dest Fac]])/(TblConstr[[#This Row],[Land]]-TblExplore[[#This Row],[Land Bonus]]*20))</f>
        <v>7.4999999999999997E-2</v>
      </c>
      <c r="AJ90" s="234">
        <f ca="1">MIN(25%,(TblConstr[[#This Row],[Tot Fac]]+TblConstr[[#This Row],[Dest Fac]])/TblConstr[[#This Row],[Land]])</f>
        <v>7.4999999999999997E-2</v>
      </c>
      <c r="AK90" s="113">
        <f ca="1">TblProd[[#This Row],[Platinum]]</f>
        <v>765319</v>
      </c>
      <c r="AL90" s="113">
        <f ca="1">TblProd[[#This Row],[Lumber]]</f>
        <v>42957</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0" s="113">
        <f ca="1">ROUNDDOWN( MAX(1 - MIN(facs_constr_factor*TblConstr[[#This Row],[Facs -DB]],facs_constr_max) + tech_1_11*TblTech[[#This Row],[11-1]] + tech_6_3_2*TblTech[[#This Row],[6-3]] + tech_5_2_3*TblTech[[#This Row],[5-2]], 1-global_constr_cap) * TblConstr[[#This Row],[RCPA Lumber]],0)</f>
        <v>147</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0" s="113">
        <f ca="1">ROUNDDOWN( MAX(1 - MIN(facs_constr_factor*TblConstr[[#This Row],[Facs DB]],facs_constr_max) + tech_1_11*TblTech[[#This Row],[1-11]] + tech_6_3_2*TblTech[[#This Row],[6-3]] + tech_5_2_3*TblTech[[#This Row],[5-2]], 1-global_constr_cap) * TblConstr[[#This Row],[RCPA Lumber]],0)</f>
        <v>147</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1386</v>
      </c>
      <c r="AW90" s="113">
        <f ca="1">ROUND((MAX(TblConstr[[#This Row],[Buildings]],250,0.75*TblConstr[[#This Row],[Land]])-250) * 0.35+87.5,0)</f>
        <v>210</v>
      </c>
      <c r="AX90" s="200"/>
      <c r="AY90" s="243" cm="1">
        <f t="array" aca="1" ref="AY90" ca="1">IF(TblConstr[[#This Row],[Hour]:[Hour]]&gt;12,OFFSET(TblConstr[[#This Row],[Hom]],-12,0),0)+OFFSET(TblConstr[[#This Row],[Tot Hom]],-1,0)-TblConstr[[#This Row],[Dest Hom]]</f>
        <v>48</v>
      </c>
      <c r="AZ90" s="244" cm="1">
        <f t="array" aca="1" ref="AZ90" ca="1">IF(TblConstr[[#This Row],[Hour]:[Hour]]&gt;12,OFFSET(TblConstr[[#This Row],[Alc]],-12,0),0)+OFFSET(TblConstr[[#This Row],[Tot Alc]],-1,0)-TblConstr[[#This Row],[Dest Alc]]</f>
        <v>264</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108</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30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45</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15</v>
      </c>
      <c r="BM90" s="488" cm="1">
        <f t="array" aca="1" ref="BM90" ca="1">IF(TblConstr[[#This Row],[Hour]:[Hour]]&gt;12,OFFSET(TblConstr[[#This Row],[Tem]],-12,0),0)+OFFSET(TblConstr[[#This Row],[Tot Tem]],-1,0)-TblConstr[[#This Row],[Dest Tem]]</f>
        <v>20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20</v>
      </c>
      <c r="BR90" s="184"/>
      <c r="BS90" s="200"/>
      <c r="BT90" s="113">
        <f ca="1">TblConstr[[#This Row],[Land]]</f>
        <v>600</v>
      </c>
      <c r="BU90" s="205">
        <f ca="1">TblImps[[#This Row],[Time]]</f>
        <v>44408.333333333125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402</v>
      </c>
      <c r="DA90" s="113">
        <f t="shared" ca="1" si="24"/>
        <v>20</v>
      </c>
      <c r="DB90" s="49">
        <f t="shared" ca="1" si="25"/>
        <v>30</v>
      </c>
      <c r="DC90" s="113">
        <f t="shared" ca="1" si="26"/>
        <v>45</v>
      </c>
      <c r="DD90" s="113">
        <f t="shared" ca="1" si="27"/>
        <v>35</v>
      </c>
      <c r="DE90" s="49">
        <f t="shared" ca="1" si="28"/>
        <v>0</v>
      </c>
      <c r="DF90" s="113">
        <f t="shared" ca="1" si="29"/>
        <v>20</v>
      </c>
      <c r="DG90" s="113" cm="1">
        <f t="array" aca="1" ref="DG90" ca="1">INDEX(TblConstr[[Total Plain]:[Total Water]],ROW()-ROW(TblConstr[#Headers]),MATCH("Total "&amp;home_land,TblConstr[[#Headers],[Total Plain]:[Total Water]],0))+TblConstr[[#This Row],[Homes]]</f>
        <v>450</v>
      </c>
      <c r="DH90" s="49">
        <f t="shared" ca="1" si="22"/>
        <v>48</v>
      </c>
      <c r="DI90" s="49">
        <f t="shared" ca="1" si="19"/>
        <v>0</v>
      </c>
      <c r="DJ90" s="49">
        <f t="shared" ca="1" si="20"/>
        <v>0</v>
      </c>
    </row>
    <row r="91" spans="1:114" x14ac:dyDescent="0.2">
      <c r="A91" s="228">
        <f>TblRezone[[#This Row],[Hour]]</f>
        <v>88</v>
      </c>
      <c r="B91" s="229">
        <f ca="1">SUM(TblConstr[[#This Row],[Plain]:[Water]])</f>
        <v>0</v>
      </c>
      <c r="C91" s="230">
        <f ca="1">SUM(TblConstr[[#This Row],[Tot Hom]:[Tot Doc]])</f>
        <v>600</v>
      </c>
      <c r="D91" s="230">
        <f t="shared" si="21"/>
        <v>0</v>
      </c>
      <c r="E91" s="231"/>
      <c r="F91" s="74">
        <f ca="1">TblConstr[[#This Row],[Barren]]+TblConstr[[#This Row],[Buildings]]+TblConstr[[#This Row],[Incoming]]</f>
        <v>600</v>
      </c>
      <c r="G91" s="242">
        <f ca="1">OFFSET(TblConstr[[#This Row],[Plain]],-1,0)+TblConstr[[#This Row],[Ch_Plain]]</f>
        <v>0</v>
      </c>
      <c r="H91" s="236">
        <f ca="1">OFFSET(TblConstr[[#This Row],[Forest]],-1,0)+TblConstr[[#This Row],[Ch_Forest]]</f>
        <v>0</v>
      </c>
      <c r="I91" s="478">
        <f ca="1">OFFSET(TblConstr[[#This Row],[Mountain]],-1,0)+TblConstr[[#This Row],[Ch_Mountain]]</f>
        <v>0</v>
      </c>
      <c r="J91" s="482">
        <f ca="1">OFFSET(TblConstr[[#This Row],[Hill]],-1,0)+TblConstr[[#This Row],[Ch_Hill]]</f>
        <v>0</v>
      </c>
      <c r="K91" s="486">
        <f ca="1">OFFSET(TblConstr[[#This Row],[Swamp]],-1,0)+TblConstr[[#This Row],[Ch_Swamp]]</f>
        <v>0</v>
      </c>
      <c r="L91" s="239">
        <f ca="1">OFFSET(TblConstr[[#This Row],[Cavern]],-1,0)+TblConstr[[#This Row],[Ch_Cavern]]</f>
        <v>0</v>
      </c>
      <c r="M91" s="240">
        <f ca="1">OFFSET(TblConstr[[#This Row],[Water]],-1,0)+TblConstr[[#This Row],[Ch_Water]]</f>
        <v>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44408.374999999789</v>
      </c>
      <c r="AI91" s="234">
        <f ca="1">MIN(25%,(TblConstr[[#This Row],[Tot Fac]]+TblConstr[[#This Row],[Dest Fac]])/(TblConstr[[#This Row],[Land]]-TblExplore[[#This Row],[Land Bonus]]*20))</f>
        <v>7.4999999999999997E-2</v>
      </c>
      <c r="AJ91" s="234">
        <f ca="1">MIN(25%,(TblConstr[[#This Row],[Tot Fac]]+TblConstr[[#This Row],[Dest Fac]])/TblConstr[[#This Row],[Land]])</f>
        <v>7.4999999999999997E-2</v>
      </c>
      <c r="AK91" s="113">
        <f ca="1">TblProd[[#This Row],[Platinum]]</f>
        <v>794516</v>
      </c>
      <c r="AL91" s="113">
        <f ca="1">TblProd[[#This Row],[Lumber]]</f>
        <v>43527</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1" s="113">
        <f ca="1">ROUNDDOWN( MAX(1 - MIN(facs_constr_factor*TblConstr[[#This Row],[Facs -DB]],facs_constr_max) + tech_1_11*TblTech[[#This Row],[11-1]] + tech_6_3_2*TblTech[[#This Row],[6-3]] + tech_5_2_3*TblTech[[#This Row],[5-2]], 1-global_constr_cap) * TblConstr[[#This Row],[RCPA Lumber]],0)</f>
        <v>147</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1" s="113">
        <f ca="1">ROUNDDOWN( MAX(1 - MIN(facs_constr_factor*TblConstr[[#This Row],[Facs DB]],facs_constr_max) + tech_1_11*TblTech[[#This Row],[1-11]] + tech_6_3_2*TblTech[[#This Row],[6-3]] + tech_5_2_3*TblTech[[#This Row],[5-2]], 1-global_constr_cap) * TblConstr[[#This Row],[RCPA Lumber]],0)</f>
        <v>147</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1386</v>
      </c>
      <c r="AW91" s="113">
        <f ca="1">ROUND((MAX(TblConstr[[#This Row],[Buildings]],250,0.75*TblConstr[[#This Row],[Land]])-250) * 0.35+87.5,0)</f>
        <v>210</v>
      </c>
      <c r="AX91" s="200"/>
      <c r="AY91" s="243" cm="1">
        <f t="array" aca="1" ref="AY91" ca="1">IF(TblConstr[[#This Row],[Hour]:[Hour]]&gt;12,OFFSET(TblConstr[[#This Row],[Hom]],-12,0),0)+OFFSET(TblConstr[[#This Row],[Tot Hom]],-1,0)-TblConstr[[#This Row],[Dest Hom]]</f>
        <v>48</v>
      </c>
      <c r="AZ91" s="244" cm="1">
        <f t="array" aca="1" ref="AZ91" ca="1">IF(TblConstr[[#This Row],[Hour]:[Hour]]&gt;12,OFFSET(TblConstr[[#This Row],[Alc]],-12,0),0)+OFFSET(TblConstr[[#This Row],[Tot Alc]],-1,0)-TblConstr[[#This Row],[Dest Alc]]</f>
        <v>264</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108</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30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45</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15</v>
      </c>
      <c r="BM91" s="488" cm="1">
        <f t="array" aca="1" ref="BM91" ca="1">IF(TblConstr[[#This Row],[Hour]:[Hour]]&gt;12,OFFSET(TblConstr[[#This Row],[Tem]],-12,0),0)+OFFSET(TblConstr[[#This Row],[Tot Tem]],-1,0)-TblConstr[[#This Row],[Dest Tem]]</f>
        <v>20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20</v>
      </c>
      <c r="BR91" s="184"/>
      <c r="BS91" s="200"/>
      <c r="BT91" s="113">
        <f ca="1">TblConstr[[#This Row],[Land]]</f>
        <v>600</v>
      </c>
      <c r="BU91" s="205">
        <f ca="1">TblImps[[#This Row],[Time]]</f>
        <v>44408.374999999789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402</v>
      </c>
      <c r="DA91" s="113">
        <f t="shared" ca="1" si="24"/>
        <v>20</v>
      </c>
      <c r="DB91" s="49">
        <f t="shared" ca="1" si="25"/>
        <v>30</v>
      </c>
      <c r="DC91" s="113">
        <f t="shared" ca="1" si="26"/>
        <v>45</v>
      </c>
      <c r="DD91" s="113">
        <f t="shared" ca="1" si="27"/>
        <v>35</v>
      </c>
      <c r="DE91" s="49">
        <f t="shared" ca="1" si="28"/>
        <v>0</v>
      </c>
      <c r="DF91" s="113">
        <f t="shared" ca="1" si="29"/>
        <v>20</v>
      </c>
      <c r="DG91" s="113" cm="1">
        <f t="array" aca="1" ref="DG91" ca="1">INDEX(TblConstr[[Total Plain]:[Total Water]],ROW()-ROW(TblConstr[#Headers]),MATCH("Total "&amp;home_land,TblConstr[[#Headers],[Total Plain]:[Total Water]],0))+TblConstr[[#This Row],[Homes]]</f>
        <v>450</v>
      </c>
      <c r="DH91" s="49">
        <f t="shared" ca="1" si="22"/>
        <v>48</v>
      </c>
      <c r="DI91" s="49">
        <f t="shared" ca="1" si="19"/>
        <v>0</v>
      </c>
      <c r="DJ91" s="49">
        <f t="shared" ca="1" si="20"/>
        <v>0</v>
      </c>
    </row>
    <row r="92" spans="1:114" x14ac:dyDescent="0.2">
      <c r="A92" s="228">
        <f>TblRezone[[#This Row],[Hour]]</f>
        <v>89</v>
      </c>
      <c r="B92" s="229">
        <f ca="1">SUM(TblConstr[[#This Row],[Plain]:[Water]])</f>
        <v>0</v>
      </c>
      <c r="C92" s="230">
        <f ca="1">SUM(TblConstr[[#This Row],[Tot Hom]:[Tot Doc]])</f>
        <v>600</v>
      </c>
      <c r="D92" s="230">
        <f t="shared" si="21"/>
        <v>0</v>
      </c>
      <c r="E92" s="231"/>
      <c r="F92" s="74">
        <f ca="1">TblConstr[[#This Row],[Barren]]+TblConstr[[#This Row],[Buildings]]+TblConstr[[#This Row],[Incoming]]</f>
        <v>600</v>
      </c>
      <c r="G92" s="242">
        <f ca="1">OFFSET(TblConstr[[#This Row],[Plain]],-1,0)+TblConstr[[#This Row],[Ch_Plain]]</f>
        <v>0</v>
      </c>
      <c r="H92" s="236">
        <f ca="1">OFFSET(TblConstr[[#This Row],[Forest]],-1,0)+TblConstr[[#This Row],[Ch_Forest]]</f>
        <v>0</v>
      </c>
      <c r="I92" s="478">
        <f ca="1">OFFSET(TblConstr[[#This Row],[Mountain]],-1,0)+TblConstr[[#This Row],[Ch_Mountain]]</f>
        <v>0</v>
      </c>
      <c r="J92" s="482">
        <f ca="1">OFFSET(TblConstr[[#This Row],[Hill]],-1,0)+TblConstr[[#This Row],[Ch_Hill]]</f>
        <v>0</v>
      </c>
      <c r="K92" s="486">
        <f ca="1">OFFSET(TblConstr[[#This Row],[Swamp]],-1,0)+TblConstr[[#This Row],[Ch_Swamp]]</f>
        <v>0</v>
      </c>
      <c r="L92" s="239">
        <f ca="1">OFFSET(TblConstr[[#This Row],[Cavern]],-1,0)+TblConstr[[#This Row],[Ch_Cavern]]</f>
        <v>0</v>
      </c>
      <c r="M92" s="240">
        <f ca="1">OFFSET(TblConstr[[#This Row],[Water]],-1,0)+TblConstr[[#This Row],[Ch_Water]]</f>
        <v>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44408.416666666453</v>
      </c>
      <c r="AI92" s="234">
        <f ca="1">MIN(25%,(TblConstr[[#This Row],[Tot Fac]]+TblConstr[[#This Row],[Dest Fac]])/(TblConstr[[#This Row],[Land]]-TblExplore[[#This Row],[Land Bonus]]*20))</f>
        <v>7.4999999999999997E-2</v>
      </c>
      <c r="AJ92" s="234">
        <f ca="1">MIN(25%,(TblConstr[[#This Row],[Tot Fac]]+TblConstr[[#This Row],[Dest Fac]])/TblConstr[[#This Row],[Land]])</f>
        <v>7.4999999999999997E-2</v>
      </c>
      <c r="AK92" s="113">
        <f ca="1">TblProd[[#This Row],[Platinum]]</f>
        <v>823541</v>
      </c>
      <c r="AL92" s="113">
        <f ca="1">TblProd[[#This Row],[Lumber]]</f>
        <v>44092</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2" s="113">
        <f ca="1">ROUNDDOWN( MAX(1 - MIN(facs_constr_factor*TblConstr[[#This Row],[Facs -DB]],facs_constr_max) + tech_1_11*TblTech[[#This Row],[11-1]] + tech_6_3_2*TblTech[[#This Row],[6-3]] + tech_5_2_3*TblTech[[#This Row],[5-2]], 1-global_constr_cap) * TblConstr[[#This Row],[RCPA Lumber]],0)</f>
        <v>147</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2" s="113">
        <f ca="1">ROUNDDOWN( MAX(1 - MIN(facs_constr_factor*TblConstr[[#This Row],[Facs DB]],facs_constr_max) + tech_1_11*TblTech[[#This Row],[1-11]] + tech_6_3_2*TblTech[[#This Row],[6-3]] + tech_5_2_3*TblTech[[#This Row],[5-2]], 1-global_constr_cap) * TblConstr[[#This Row],[RCPA Lumber]],0)</f>
        <v>147</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1386</v>
      </c>
      <c r="AW92" s="113">
        <f ca="1">ROUND((MAX(TblConstr[[#This Row],[Buildings]],250,0.75*TblConstr[[#This Row],[Land]])-250) * 0.35+87.5,0)</f>
        <v>210</v>
      </c>
      <c r="AX92" s="200"/>
      <c r="AY92" s="243" cm="1">
        <f t="array" aca="1" ref="AY92" ca="1">IF(TblConstr[[#This Row],[Hour]:[Hour]]&gt;12,OFFSET(TblConstr[[#This Row],[Hom]],-12,0),0)+OFFSET(TblConstr[[#This Row],[Tot Hom]],-1,0)-TblConstr[[#This Row],[Dest Hom]]</f>
        <v>48</v>
      </c>
      <c r="AZ92" s="244" cm="1">
        <f t="array" aca="1" ref="AZ92" ca="1">IF(TblConstr[[#This Row],[Hour]:[Hour]]&gt;12,OFFSET(TblConstr[[#This Row],[Alc]],-12,0),0)+OFFSET(TblConstr[[#This Row],[Tot Alc]],-1,0)-TblConstr[[#This Row],[Dest Alc]]</f>
        <v>264</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108</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30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45</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15</v>
      </c>
      <c r="BM92" s="488" cm="1">
        <f t="array" aca="1" ref="BM92" ca="1">IF(TblConstr[[#This Row],[Hour]:[Hour]]&gt;12,OFFSET(TblConstr[[#This Row],[Tem]],-12,0),0)+OFFSET(TblConstr[[#This Row],[Tot Tem]],-1,0)-TblConstr[[#This Row],[Dest Tem]]</f>
        <v>20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20</v>
      </c>
      <c r="BR92" s="184"/>
      <c r="BS92" s="200"/>
      <c r="BT92" s="113">
        <f ca="1">TblConstr[[#This Row],[Land]]</f>
        <v>600</v>
      </c>
      <c r="BU92" s="205">
        <f ca="1">TblImps[[#This Row],[Time]]</f>
        <v>44408.416666666453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402</v>
      </c>
      <c r="DA92" s="113">
        <f t="shared" ca="1" si="24"/>
        <v>20</v>
      </c>
      <c r="DB92" s="49">
        <f t="shared" ca="1" si="25"/>
        <v>30</v>
      </c>
      <c r="DC92" s="113">
        <f t="shared" ca="1" si="26"/>
        <v>45</v>
      </c>
      <c r="DD92" s="113">
        <f t="shared" ca="1" si="27"/>
        <v>35</v>
      </c>
      <c r="DE92" s="49">
        <f t="shared" ca="1" si="28"/>
        <v>0</v>
      </c>
      <c r="DF92" s="113">
        <f t="shared" ca="1" si="29"/>
        <v>20</v>
      </c>
      <c r="DG92" s="113" cm="1">
        <f t="array" aca="1" ref="DG92" ca="1">INDEX(TblConstr[[Total Plain]:[Total Water]],ROW()-ROW(TblConstr[#Headers]),MATCH("Total "&amp;home_land,TblConstr[[#Headers],[Total Plain]:[Total Water]],0))+TblConstr[[#This Row],[Homes]]</f>
        <v>450</v>
      </c>
      <c r="DH92" s="49">
        <f t="shared" ca="1" si="22"/>
        <v>48</v>
      </c>
      <c r="DI92" s="49">
        <f t="shared" ca="1" si="19"/>
        <v>0</v>
      </c>
      <c r="DJ92" s="49">
        <f t="shared" ca="1" si="20"/>
        <v>0</v>
      </c>
    </row>
    <row r="93" spans="1:114" x14ac:dyDescent="0.2">
      <c r="A93" s="228">
        <f>TblRezone[[#This Row],[Hour]]</f>
        <v>90</v>
      </c>
      <c r="B93" s="229">
        <f ca="1">SUM(TblConstr[[#This Row],[Plain]:[Water]])</f>
        <v>0</v>
      </c>
      <c r="C93" s="230">
        <f ca="1">SUM(TblConstr[[#This Row],[Tot Hom]:[Tot Doc]])</f>
        <v>600</v>
      </c>
      <c r="D93" s="230">
        <f t="shared" si="21"/>
        <v>0</v>
      </c>
      <c r="E93" s="231"/>
      <c r="F93" s="74">
        <f ca="1">TblConstr[[#This Row],[Barren]]+TblConstr[[#This Row],[Buildings]]+TblConstr[[#This Row],[Incoming]]</f>
        <v>600</v>
      </c>
      <c r="G93" s="242">
        <f ca="1">OFFSET(TblConstr[[#This Row],[Plain]],-1,0)+TblConstr[[#This Row],[Ch_Plain]]</f>
        <v>0</v>
      </c>
      <c r="H93" s="236">
        <f ca="1">OFFSET(TblConstr[[#This Row],[Forest]],-1,0)+TblConstr[[#This Row],[Ch_Forest]]</f>
        <v>0</v>
      </c>
      <c r="I93" s="478">
        <f ca="1">OFFSET(TblConstr[[#This Row],[Mountain]],-1,0)+TblConstr[[#This Row],[Ch_Mountain]]</f>
        <v>0</v>
      </c>
      <c r="J93" s="482">
        <f ca="1">OFFSET(TblConstr[[#This Row],[Hill]],-1,0)+TblConstr[[#This Row],[Ch_Hill]]</f>
        <v>0</v>
      </c>
      <c r="K93" s="486">
        <f ca="1">OFFSET(TblConstr[[#This Row],[Swamp]],-1,0)+TblConstr[[#This Row],[Ch_Swamp]]</f>
        <v>0</v>
      </c>
      <c r="L93" s="239">
        <f ca="1">OFFSET(TblConstr[[#This Row],[Cavern]],-1,0)+TblConstr[[#This Row],[Ch_Cavern]]</f>
        <v>0</v>
      </c>
      <c r="M93" s="240">
        <f ca="1">OFFSET(TblConstr[[#This Row],[Water]],-1,0)+TblConstr[[#This Row],[Ch_Water]]</f>
        <v>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44408.458333333117</v>
      </c>
      <c r="AI93" s="234">
        <f ca="1">MIN(25%,(TblConstr[[#This Row],[Tot Fac]]+TblConstr[[#This Row],[Dest Fac]])/(TblConstr[[#This Row],[Land]]-TblExplore[[#This Row],[Land Bonus]]*20))</f>
        <v>7.4999999999999997E-2</v>
      </c>
      <c r="AJ93" s="234">
        <f ca="1">MIN(25%,(TblConstr[[#This Row],[Tot Fac]]+TblConstr[[#This Row],[Dest Fac]])/TblConstr[[#This Row],[Land]])</f>
        <v>7.4999999999999997E-2</v>
      </c>
      <c r="AK93" s="113">
        <f ca="1">TblProd[[#This Row],[Platinum]]</f>
        <v>852393</v>
      </c>
      <c r="AL93" s="113">
        <f ca="1">TblProd[[#This Row],[Lumber]]</f>
        <v>44651</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3" s="113">
        <f ca="1">ROUNDDOWN( MAX(1 - MIN(facs_constr_factor*TblConstr[[#This Row],[Facs -DB]],facs_constr_max) + tech_1_11*TblTech[[#This Row],[11-1]] + tech_6_3_2*TblTech[[#This Row],[6-3]] + tech_5_2_3*TblTech[[#This Row],[5-2]], 1-global_constr_cap) * TblConstr[[#This Row],[RCPA Lumber]],0)</f>
        <v>147</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3" s="113">
        <f ca="1">ROUNDDOWN( MAX(1 - MIN(facs_constr_factor*TblConstr[[#This Row],[Facs DB]],facs_constr_max) + tech_1_11*TblTech[[#This Row],[1-11]] + tech_6_3_2*TblTech[[#This Row],[6-3]] + tech_5_2_3*TblTech[[#This Row],[5-2]], 1-global_constr_cap) * TblConstr[[#This Row],[RCPA Lumber]],0)</f>
        <v>147</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1386</v>
      </c>
      <c r="AW93" s="113">
        <f ca="1">ROUND((MAX(TblConstr[[#This Row],[Buildings]],250,0.75*TblConstr[[#This Row],[Land]])-250) * 0.35+87.5,0)</f>
        <v>210</v>
      </c>
      <c r="AX93" s="200"/>
      <c r="AY93" s="243" cm="1">
        <f t="array" aca="1" ref="AY93" ca="1">IF(TblConstr[[#This Row],[Hour]:[Hour]]&gt;12,OFFSET(TblConstr[[#This Row],[Hom]],-12,0),0)+OFFSET(TblConstr[[#This Row],[Tot Hom]],-1,0)-TblConstr[[#This Row],[Dest Hom]]</f>
        <v>48</v>
      </c>
      <c r="AZ93" s="244" cm="1">
        <f t="array" aca="1" ref="AZ93" ca="1">IF(TblConstr[[#This Row],[Hour]:[Hour]]&gt;12,OFFSET(TblConstr[[#This Row],[Alc]],-12,0),0)+OFFSET(TblConstr[[#This Row],[Tot Alc]],-1,0)-TblConstr[[#This Row],[Dest Alc]]</f>
        <v>264</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108</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30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45</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15</v>
      </c>
      <c r="BM93" s="488" cm="1">
        <f t="array" aca="1" ref="BM93" ca="1">IF(TblConstr[[#This Row],[Hour]:[Hour]]&gt;12,OFFSET(TblConstr[[#This Row],[Tem]],-12,0),0)+OFFSET(TblConstr[[#This Row],[Tot Tem]],-1,0)-TblConstr[[#This Row],[Dest Tem]]</f>
        <v>20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20</v>
      </c>
      <c r="BR93" s="184"/>
      <c r="BS93" s="200"/>
      <c r="BT93" s="113">
        <f ca="1">TblConstr[[#This Row],[Land]]</f>
        <v>600</v>
      </c>
      <c r="BU93" s="205">
        <f ca="1">TblImps[[#This Row],[Time]]</f>
        <v>44408.458333333117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402</v>
      </c>
      <c r="DA93" s="113">
        <f t="shared" ca="1" si="24"/>
        <v>20</v>
      </c>
      <c r="DB93" s="49">
        <f t="shared" ca="1" si="25"/>
        <v>30</v>
      </c>
      <c r="DC93" s="113">
        <f t="shared" ca="1" si="26"/>
        <v>45</v>
      </c>
      <c r="DD93" s="113">
        <f t="shared" ca="1" si="27"/>
        <v>35</v>
      </c>
      <c r="DE93" s="49">
        <f t="shared" ca="1" si="28"/>
        <v>0</v>
      </c>
      <c r="DF93" s="113">
        <f t="shared" ca="1" si="29"/>
        <v>20</v>
      </c>
      <c r="DG93" s="113" cm="1">
        <f t="array" aca="1" ref="DG93" ca="1">INDEX(TblConstr[[Total Plain]:[Total Water]],ROW()-ROW(TblConstr[#Headers]),MATCH("Total "&amp;home_land,TblConstr[[#Headers],[Total Plain]:[Total Water]],0))+TblConstr[[#This Row],[Homes]]</f>
        <v>450</v>
      </c>
      <c r="DH93" s="49">
        <f t="shared" ca="1" si="22"/>
        <v>48</v>
      </c>
      <c r="DI93" s="49">
        <f t="shared" ca="1" si="19"/>
        <v>0</v>
      </c>
      <c r="DJ93" s="49">
        <f t="shared" ca="1" si="20"/>
        <v>0</v>
      </c>
    </row>
    <row r="94" spans="1:114" x14ac:dyDescent="0.2">
      <c r="A94" s="228">
        <f>TblRezone[[#This Row],[Hour]]</f>
        <v>91</v>
      </c>
      <c r="B94" s="229">
        <f ca="1">SUM(TblConstr[[#This Row],[Plain]:[Water]])</f>
        <v>0</v>
      </c>
      <c r="C94" s="230">
        <f ca="1">SUM(TblConstr[[#This Row],[Tot Hom]:[Tot Doc]])</f>
        <v>600</v>
      </c>
      <c r="D94" s="230">
        <f t="shared" si="21"/>
        <v>0</v>
      </c>
      <c r="E94" s="231"/>
      <c r="F94" s="74">
        <f ca="1">TblConstr[[#This Row],[Barren]]+TblConstr[[#This Row],[Buildings]]+TblConstr[[#This Row],[Incoming]]</f>
        <v>600</v>
      </c>
      <c r="G94" s="242">
        <f ca="1">OFFSET(TblConstr[[#This Row],[Plain]],-1,0)+TblConstr[[#This Row],[Ch_Plain]]</f>
        <v>0</v>
      </c>
      <c r="H94" s="236">
        <f ca="1">OFFSET(TblConstr[[#This Row],[Forest]],-1,0)+TblConstr[[#This Row],[Ch_Forest]]</f>
        <v>0</v>
      </c>
      <c r="I94" s="478">
        <f ca="1">OFFSET(TblConstr[[#This Row],[Mountain]],-1,0)+TblConstr[[#This Row],[Ch_Mountain]]</f>
        <v>0</v>
      </c>
      <c r="J94" s="482">
        <f ca="1">OFFSET(TblConstr[[#This Row],[Hill]],-1,0)+TblConstr[[#This Row],[Ch_Hill]]</f>
        <v>0</v>
      </c>
      <c r="K94" s="486">
        <f ca="1">OFFSET(TblConstr[[#This Row],[Swamp]],-1,0)+TblConstr[[#This Row],[Ch_Swamp]]</f>
        <v>0</v>
      </c>
      <c r="L94" s="239">
        <f ca="1">OFFSET(TblConstr[[#This Row],[Cavern]],-1,0)+TblConstr[[#This Row],[Ch_Cavern]]</f>
        <v>0</v>
      </c>
      <c r="M94" s="240">
        <f ca="1">OFFSET(TblConstr[[#This Row],[Water]],-1,0)+TblConstr[[#This Row],[Ch_Water]]</f>
        <v>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44408.499999999782</v>
      </c>
      <c r="AI94" s="234">
        <f ca="1">MIN(25%,(TblConstr[[#This Row],[Tot Fac]]+TblConstr[[#This Row],[Dest Fac]])/(TblConstr[[#This Row],[Land]]-TblExplore[[#This Row],[Land Bonus]]*20))</f>
        <v>7.4999999999999997E-2</v>
      </c>
      <c r="AJ94" s="234">
        <f ca="1">MIN(25%,(TblConstr[[#This Row],[Tot Fac]]+TblConstr[[#This Row],[Dest Fac]])/TblConstr[[#This Row],[Land]])</f>
        <v>7.4999999999999997E-2</v>
      </c>
      <c r="AK94" s="113">
        <f ca="1">TblProd[[#This Row],[Platinum]]</f>
        <v>881075</v>
      </c>
      <c r="AL94" s="113">
        <f ca="1">TblProd[[#This Row],[Lumber]]</f>
        <v>45204</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4" s="113">
        <f ca="1">ROUNDDOWN( MAX(1 - MIN(facs_constr_factor*TblConstr[[#This Row],[Facs -DB]],facs_constr_max) + tech_1_11*TblTech[[#This Row],[11-1]] + tech_6_3_2*TblTech[[#This Row],[6-3]] + tech_5_2_3*TblTech[[#This Row],[5-2]], 1-global_constr_cap) * TblConstr[[#This Row],[RCPA Lumber]],0)</f>
        <v>147</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4" s="113">
        <f ca="1">ROUNDDOWN( MAX(1 - MIN(facs_constr_factor*TblConstr[[#This Row],[Facs DB]],facs_constr_max) + tech_1_11*TblTech[[#This Row],[1-11]] + tech_6_3_2*TblTech[[#This Row],[6-3]] + tech_5_2_3*TblTech[[#This Row],[5-2]], 1-global_constr_cap) * TblConstr[[#This Row],[RCPA Lumber]],0)</f>
        <v>147</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1386</v>
      </c>
      <c r="AW94" s="113">
        <f ca="1">ROUND((MAX(TblConstr[[#This Row],[Buildings]],250,0.75*TblConstr[[#This Row],[Land]])-250) * 0.35+87.5,0)</f>
        <v>210</v>
      </c>
      <c r="AX94" s="200"/>
      <c r="AY94" s="243" cm="1">
        <f t="array" aca="1" ref="AY94" ca="1">IF(TblConstr[[#This Row],[Hour]:[Hour]]&gt;12,OFFSET(TblConstr[[#This Row],[Hom]],-12,0),0)+OFFSET(TblConstr[[#This Row],[Tot Hom]],-1,0)-TblConstr[[#This Row],[Dest Hom]]</f>
        <v>48</v>
      </c>
      <c r="AZ94" s="244" cm="1">
        <f t="array" aca="1" ref="AZ94" ca="1">IF(TblConstr[[#This Row],[Hour]:[Hour]]&gt;12,OFFSET(TblConstr[[#This Row],[Alc]],-12,0),0)+OFFSET(TblConstr[[#This Row],[Tot Alc]],-1,0)-TblConstr[[#This Row],[Dest Alc]]</f>
        <v>264</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108</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30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45</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15</v>
      </c>
      <c r="BM94" s="488" cm="1">
        <f t="array" aca="1" ref="BM94" ca="1">IF(TblConstr[[#This Row],[Hour]:[Hour]]&gt;12,OFFSET(TblConstr[[#This Row],[Tem]],-12,0),0)+OFFSET(TblConstr[[#This Row],[Tot Tem]],-1,0)-TblConstr[[#This Row],[Dest Tem]]</f>
        <v>20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20</v>
      </c>
      <c r="BR94" s="184"/>
      <c r="BS94" s="200"/>
      <c r="BT94" s="113">
        <f ca="1">TblConstr[[#This Row],[Land]]</f>
        <v>600</v>
      </c>
      <c r="BU94" s="205">
        <f ca="1">TblImps[[#This Row],[Time]]</f>
        <v>44408.499999999782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402</v>
      </c>
      <c r="DA94" s="113">
        <f t="shared" ca="1" si="24"/>
        <v>20</v>
      </c>
      <c r="DB94" s="49">
        <f t="shared" ca="1" si="25"/>
        <v>30</v>
      </c>
      <c r="DC94" s="113">
        <f t="shared" ca="1" si="26"/>
        <v>45</v>
      </c>
      <c r="DD94" s="113">
        <f t="shared" ca="1" si="27"/>
        <v>35</v>
      </c>
      <c r="DE94" s="49">
        <f t="shared" ca="1" si="28"/>
        <v>0</v>
      </c>
      <c r="DF94" s="113">
        <f t="shared" ca="1" si="29"/>
        <v>20</v>
      </c>
      <c r="DG94" s="113" cm="1">
        <f t="array" aca="1" ref="DG94" ca="1">INDEX(TblConstr[[Total Plain]:[Total Water]],ROW()-ROW(TblConstr[#Headers]),MATCH("Total "&amp;home_land,TblConstr[[#Headers],[Total Plain]:[Total Water]],0))+TblConstr[[#This Row],[Homes]]</f>
        <v>450</v>
      </c>
      <c r="DH94" s="49">
        <f t="shared" ca="1" si="22"/>
        <v>48</v>
      </c>
      <c r="DI94" s="49">
        <f t="shared" ca="1" si="19"/>
        <v>0</v>
      </c>
      <c r="DJ94" s="49">
        <f t="shared" ca="1" si="20"/>
        <v>0</v>
      </c>
    </row>
    <row r="95" spans="1:114" x14ac:dyDescent="0.2">
      <c r="A95" s="228">
        <f>TblRezone[[#This Row],[Hour]]</f>
        <v>92</v>
      </c>
      <c r="B95" s="229">
        <f ca="1">SUM(TblConstr[[#This Row],[Plain]:[Water]])</f>
        <v>0</v>
      </c>
      <c r="C95" s="230">
        <f ca="1">SUM(TblConstr[[#This Row],[Tot Hom]:[Tot Doc]])</f>
        <v>600</v>
      </c>
      <c r="D95" s="230">
        <f t="shared" si="21"/>
        <v>0</v>
      </c>
      <c r="E95" s="231"/>
      <c r="F95" s="74">
        <f ca="1">TblConstr[[#This Row],[Barren]]+TblConstr[[#This Row],[Buildings]]+TblConstr[[#This Row],[Incoming]]</f>
        <v>600</v>
      </c>
      <c r="G95" s="242">
        <f ca="1">OFFSET(TblConstr[[#This Row],[Plain]],-1,0)+TblConstr[[#This Row],[Ch_Plain]]</f>
        <v>0</v>
      </c>
      <c r="H95" s="236">
        <f ca="1">OFFSET(TblConstr[[#This Row],[Forest]],-1,0)+TblConstr[[#This Row],[Ch_Forest]]</f>
        <v>0</v>
      </c>
      <c r="I95" s="478">
        <f ca="1">OFFSET(TblConstr[[#This Row],[Mountain]],-1,0)+TblConstr[[#This Row],[Ch_Mountain]]</f>
        <v>0</v>
      </c>
      <c r="J95" s="482">
        <f ca="1">OFFSET(TblConstr[[#This Row],[Hill]],-1,0)+TblConstr[[#This Row],[Ch_Hill]]</f>
        <v>0</v>
      </c>
      <c r="K95" s="486">
        <f ca="1">OFFSET(TblConstr[[#This Row],[Swamp]],-1,0)+TblConstr[[#This Row],[Ch_Swamp]]</f>
        <v>0</v>
      </c>
      <c r="L95" s="239">
        <f ca="1">OFFSET(TblConstr[[#This Row],[Cavern]],-1,0)+TblConstr[[#This Row],[Ch_Cavern]]</f>
        <v>0</v>
      </c>
      <c r="M95" s="240">
        <f ca="1">OFFSET(TblConstr[[#This Row],[Water]],-1,0)+TblConstr[[#This Row],[Ch_Water]]</f>
        <v>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44408.541666666446</v>
      </c>
      <c r="AI95" s="234">
        <f ca="1">MIN(25%,(TblConstr[[#This Row],[Tot Fac]]+TblConstr[[#This Row],[Dest Fac]])/(TblConstr[[#This Row],[Land]]-TblExplore[[#This Row],[Land Bonus]]*20))</f>
        <v>7.4999999999999997E-2</v>
      </c>
      <c r="AJ95" s="234">
        <f ca="1">MIN(25%,(TblConstr[[#This Row],[Tot Fac]]+TblConstr[[#This Row],[Dest Fac]])/TblConstr[[#This Row],[Land]])</f>
        <v>7.4999999999999997E-2</v>
      </c>
      <c r="AK95" s="113">
        <f ca="1">TblProd[[#This Row],[Platinum]]</f>
        <v>909589</v>
      </c>
      <c r="AL95" s="113">
        <f ca="1">TblProd[[#This Row],[Lumber]]</f>
        <v>45752</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5" s="113">
        <f ca="1">ROUNDDOWN( MAX(1 - MIN(facs_constr_factor*TblConstr[[#This Row],[Facs -DB]],facs_constr_max) + tech_1_11*TblTech[[#This Row],[11-1]] + tech_6_3_2*TblTech[[#This Row],[6-3]] + tech_5_2_3*TblTech[[#This Row],[5-2]], 1-global_constr_cap) * TblConstr[[#This Row],[RCPA Lumber]],0)</f>
        <v>147</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5" s="113">
        <f ca="1">ROUNDDOWN( MAX(1 - MIN(facs_constr_factor*TblConstr[[#This Row],[Facs DB]],facs_constr_max) + tech_1_11*TblTech[[#This Row],[1-11]] + tech_6_3_2*TblTech[[#This Row],[6-3]] + tech_5_2_3*TblTech[[#This Row],[5-2]], 1-global_constr_cap) * TblConstr[[#This Row],[RCPA Lumber]],0)</f>
        <v>147</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1386</v>
      </c>
      <c r="AW95" s="113">
        <f ca="1">ROUND((MAX(TblConstr[[#This Row],[Buildings]],250,0.75*TblConstr[[#This Row],[Land]])-250) * 0.35+87.5,0)</f>
        <v>210</v>
      </c>
      <c r="AX95" s="200"/>
      <c r="AY95" s="243" cm="1">
        <f t="array" aca="1" ref="AY95" ca="1">IF(TblConstr[[#This Row],[Hour]:[Hour]]&gt;12,OFFSET(TblConstr[[#This Row],[Hom]],-12,0),0)+OFFSET(TblConstr[[#This Row],[Tot Hom]],-1,0)-TblConstr[[#This Row],[Dest Hom]]</f>
        <v>48</v>
      </c>
      <c r="AZ95" s="244" cm="1">
        <f t="array" aca="1" ref="AZ95" ca="1">IF(TblConstr[[#This Row],[Hour]:[Hour]]&gt;12,OFFSET(TblConstr[[#This Row],[Alc]],-12,0),0)+OFFSET(TblConstr[[#This Row],[Tot Alc]],-1,0)-TblConstr[[#This Row],[Dest Alc]]</f>
        <v>264</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108</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30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45</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15</v>
      </c>
      <c r="BM95" s="488" cm="1">
        <f t="array" aca="1" ref="BM95" ca="1">IF(TblConstr[[#This Row],[Hour]:[Hour]]&gt;12,OFFSET(TblConstr[[#This Row],[Tem]],-12,0),0)+OFFSET(TblConstr[[#This Row],[Tot Tem]],-1,0)-TblConstr[[#This Row],[Dest Tem]]</f>
        <v>20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20</v>
      </c>
      <c r="BR95" s="184"/>
      <c r="BS95" s="200"/>
      <c r="BT95" s="113">
        <f ca="1">TblConstr[[#This Row],[Land]]</f>
        <v>600</v>
      </c>
      <c r="BU95" s="205">
        <f ca="1">TblImps[[#This Row],[Time]]</f>
        <v>44408.541666666446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402</v>
      </c>
      <c r="DA95" s="113">
        <f t="shared" ca="1" si="24"/>
        <v>20</v>
      </c>
      <c r="DB95" s="49">
        <f t="shared" ca="1" si="25"/>
        <v>30</v>
      </c>
      <c r="DC95" s="113">
        <f t="shared" ca="1" si="26"/>
        <v>45</v>
      </c>
      <c r="DD95" s="113">
        <f t="shared" ca="1" si="27"/>
        <v>35</v>
      </c>
      <c r="DE95" s="49">
        <f t="shared" ca="1" si="28"/>
        <v>0</v>
      </c>
      <c r="DF95" s="113">
        <f t="shared" ca="1" si="29"/>
        <v>20</v>
      </c>
      <c r="DG95" s="113" cm="1">
        <f t="array" aca="1" ref="DG95" ca="1">INDEX(TblConstr[[Total Plain]:[Total Water]],ROW()-ROW(TblConstr[#Headers]),MATCH("Total "&amp;home_land,TblConstr[[#Headers],[Total Plain]:[Total Water]],0))+TblConstr[[#This Row],[Homes]]</f>
        <v>450</v>
      </c>
      <c r="DH95" s="49">
        <f t="shared" ca="1" si="22"/>
        <v>48</v>
      </c>
      <c r="DI95" s="49">
        <f t="shared" ca="1" si="19"/>
        <v>0</v>
      </c>
      <c r="DJ95" s="49">
        <f t="shared" ca="1" si="20"/>
        <v>0</v>
      </c>
    </row>
    <row r="96" spans="1:114" x14ac:dyDescent="0.2">
      <c r="A96" s="228">
        <f>TblRezone[[#This Row],[Hour]]</f>
        <v>93</v>
      </c>
      <c r="B96" s="229">
        <f ca="1">SUM(TblConstr[[#This Row],[Plain]:[Water]])</f>
        <v>0</v>
      </c>
      <c r="C96" s="230">
        <f ca="1">SUM(TblConstr[[#This Row],[Tot Hom]:[Tot Doc]])</f>
        <v>600</v>
      </c>
      <c r="D96" s="230">
        <f t="shared" si="21"/>
        <v>0</v>
      </c>
      <c r="E96" s="231"/>
      <c r="F96" s="74">
        <f ca="1">TblConstr[[#This Row],[Barren]]+TblConstr[[#This Row],[Buildings]]+TblConstr[[#This Row],[Incoming]]</f>
        <v>600</v>
      </c>
      <c r="G96" s="242">
        <f ca="1">OFFSET(TblConstr[[#This Row],[Plain]],-1,0)+TblConstr[[#This Row],[Ch_Plain]]</f>
        <v>0</v>
      </c>
      <c r="H96" s="236">
        <f ca="1">OFFSET(TblConstr[[#This Row],[Forest]],-1,0)+TblConstr[[#This Row],[Ch_Forest]]</f>
        <v>0</v>
      </c>
      <c r="I96" s="478">
        <f ca="1">OFFSET(TblConstr[[#This Row],[Mountain]],-1,0)+TblConstr[[#This Row],[Ch_Mountain]]</f>
        <v>0</v>
      </c>
      <c r="J96" s="482">
        <f ca="1">OFFSET(TblConstr[[#This Row],[Hill]],-1,0)+TblConstr[[#This Row],[Ch_Hill]]</f>
        <v>0</v>
      </c>
      <c r="K96" s="486">
        <f ca="1">OFFSET(TblConstr[[#This Row],[Swamp]],-1,0)+TblConstr[[#This Row],[Ch_Swamp]]</f>
        <v>0</v>
      </c>
      <c r="L96" s="239">
        <f ca="1">OFFSET(TblConstr[[#This Row],[Cavern]],-1,0)+TblConstr[[#This Row],[Ch_Cavern]]</f>
        <v>0</v>
      </c>
      <c r="M96" s="240">
        <f ca="1">OFFSET(TblConstr[[#This Row],[Water]],-1,0)+TblConstr[[#This Row],[Ch_Water]]</f>
        <v>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44408.58333333311</v>
      </c>
      <c r="AI96" s="234">
        <f ca="1">MIN(25%,(TblConstr[[#This Row],[Tot Fac]]+TblConstr[[#This Row],[Dest Fac]])/(TblConstr[[#This Row],[Land]]-TblExplore[[#This Row],[Land Bonus]]*20))</f>
        <v>7.4999999999999997E-2</v>
      </c>
      <c r="AJ96" s="234">
        <f ca="1">MIN(25%,(TblConstr[[#This Row],[Tot Fac]]+TblConstr[[#This Row],[Dest Fac]])/TblConstr[[#This Row],[Land]])</f>
        <v>7.4999999999999997E-2</v>
      </c>
      <c r="AK96" s="113">
        <f ca="1">TblProd[[#This Row],[Platinum]]</f>
        <v>937936</v>
      </c>
      <c r="AL96" s="113">
        <f ca="1">TblProd[[#This Row],[Lumber]]</f>
        <v>46294</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6" s="113">
        <f ca="1">ROUNDDOWN( MAX(1 - MIN(facs_constr_factor*TblConstr[[#This Row],[Facs -DB]],facs_constr_max) + tech_1_11*TblTech[[#This Row],[11-1]] + tech_6_3_2*TblTech[[#This Row],[6-3]] + tech_5_2_3*TblTech[[#This Row],[5-2]], 1-global_constr_cap) * TblConstr[[#This Row],[RCPA Lumber]],0)</f>
        <v>147</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6" s="113">
        <f ca="1">ROUNDDOWN( MAX(1 - MIN(facs_constr_factor*TblConstr[[#This Row],[Facs DB]],facs_constr_max) + tech_1_11*TblTech[[#This Row],[1-11]] + tech_6_3_2*TblTech[[#This Row],[6-3]] + tech_5_2_3*TblTech[[#This Row],[5-2]], 1-global_constr_cap) * TblConstr[[#This Row],[RCPA Lumber]],0)</f>
        <v>147</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1386</v>
      </c>
      <c r="AW96" s="113">
        <f ca="1">ROUND((MAX(TblConstr[[#This Row],[Buildings]],250,0.75*TblConstr[[#This Row],[Land]])-250) * 0.35+87.5,0)</f>
        <v>210</v>
      </c>
      <c r="AX96" s="200"/>
      <c r="AY96" s="243" cm="1">
        <f t="array" aca="1" ref="AY96" ca="1">IF(TblConstr[[#This Row],[Hour]:[Hour]]&gt;12,OFFSET(TblConstr[[#This Row],[Hom]],-12,0),0)+OFFSET(TblConstr[[#This Row],[Tot Hom]],-1,0)-TblConstr[[#This Row],[Dest Hom]]</f>
        <v>48</v>
      </c>
      <c r="AZ96" s="244" cm="1">
        <f t="array" aca="1" ref="AZ96" ca="1">IF(TblConstr[[#This Row],[Hour]:[Hour]]&gt;12,OFFSET(TblConstr[[#This Row],[Alc]],-12,0),0)+OFFSET(TblConstr[[#This Row],[Tot Alc]],-1,0)-TblConstr[[#This Row],[Dest Alc]]</f>
        <v>264</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108</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30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45</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15</v>
      </c>
      <c r="BM96" s="488" cm="1">
        <f t="array" aca="1" ref="BM96" ca="1">IF(TblConstr[[#This Row],[Hour]:[Hour]]&gt;12,OFFSET(TblConstr[[#This Row],[Tem]],-12,0),0)+OFFSET(TblConstr[[#This Row],[Tot Tem]],-1,0)-TblConstr[[#This Row],[Dest Tem]]</f>
        <v>20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20</v>
      </c>
      <c r="BR96" s="184"/>
      <c r="BS96" s="200"/>
      <c r="BT96" s="113">
        <f ca="1">TblConstr[[#This Row],[Land]]</f>
        <v>600</v>
      </c>
      <c r="BU96" s="205">
        <f ca="1">TblImps[[#This Row],[Time]]</f>
        <v>44408.58333333311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402</v>
      </c>
      <c r="DA96" s="113">
        <f t="shared" ca="1" si="24"/>
        <v>20</v>
      </c>
      <c r="DB96" s="49">
        <f t="shared" ca="1" si="25"/>
        <v>30</v>
      </c>
      <c r="DC96" s="113">
        <f t="shared" ca="1" si="26"/>
        <v>45</v>
      </c>
      <c r="DD96" s="113">
        <f t="shared" ca="1" si="27"/>
        <v>35</v>
      </c>
      <c r="DE96" s="49">
        <f t="shared" ca="1" si="28"/>
        <v>0</v>
      </c>
      <c r="DF96" s="113">
        <f t="shared" ca="1" si="29"/>
        <v>20</v>
      </c>
      <c r="DG96" s="113" cm="1">
        <f t="array" aca="1" ref="DG96" ca="1">INDEX(TblConstr[[Total Plain]:[Total Water]],ROW()-ROW(TblConstr[#Headers]),MATCH("Total "&amp;home_land,TblConstr[[#Headers],[Total Plain]:[Total Water]],0))+TblConstr[[#This Row],[Homes]]</f>
        <v>450</v>
      </c>
      <c r="DH96" s="49">
        <f t="shared" ca="1" si="22"/>
        <v>48</v>
      </c>
      <c r="DI96" s="49">
        <f t="shared" ca="1" si="19"/>
        <v>0</v>
      </c>
      <c r="DJ96" s="49">
        <f t="shared" ca="1" si="20"/>
        <v>0</v>
      </c>
    </row>
    <row r="97" spans="1:114" x14ac:dyDescent="0.2">
      <c r="A97" s="228">
        <f>TblRezone[[#This Row],[Hour]]</f>
        <v>94</v>
      </c>
      <c r="B97" s="229">
        <f ca="1">SUM(TblConstr[[#This Row],[Plain]:[Water]])</f>
        <v>0</v>
      </c>
      <c r="C97" s="230">
        <f ca="1">SUM(TblConstr[[#This Row],[Tot Hom]:[Tot Doc]])</f>
        <v>600</v>
      </c>
      <c r="D97" s="230">
        <f t="shared" si="21"/>
        <v>0</v>
      </c>
      <c r="E97" s="231"/>
      <c r="F97" s="74">
        <f ca="1">TblConstr[[#This Row],[Barren]]+TblConstr[[#This Row],[Buildings]]+TblConstr[[#This Row],[Incoming]]</f>
        <v>600</v>
      </c>
      <c r="G97" s="242">
        <f ca="1">OFFSET(TblConstr[[#This Row],[Plain]],-1,0)+TblConstr[[#This Row],[Ch_Plain]]</f>
        <v>0</v>
      </c>
      <c r="H97" s="236">
        <f ca="1">OFFSET(TblConstr[[#This Row],[Forest]],-1,0)+TblConstr[[#This Row],[Ch_Forest]]</f>
        <v>0</v>
      </c>
      <c r="I97" s="478">
        <f ca="1">OFFSET(TblConstr[[#This Row],[Mountain]],-1,0)+TblConstr[[#This Row],[Ch_Mountain]]</f>
        <v>0</v>
      </c>
      <c r="J97" s="482">
        <f ca="1">OFFSET(TblConstr[[#This Row],[Hill]],-1,0)+TblConstr[[#This Row],[Ch_Hill]]</f>
        <v>0</v>
      </c>
      <c r="K97" s="486">
        <f ca="1">OFFSET(TblConstr[[#This Row],[Swamp]],-1,0)+TblConstr[[#This Row],[Ch_Swamp]]</f>
        <v>0</v>
      </c>
      <c r="L97" s="239">
        <f ca="1">OFFSET(TblConstr[[#This Row],[Cavern]],-1,0)+TblConstr[[#This Row],[Ch_Cavern]]</f>
        <v>0</v>
      </c>
      <c r="M97" s="240">
        <f ca="1">OFFSET(TblConstr[[#This Row],[Water]],-1,0)+TblConstr[[#This Row],[Ch_Water]]</f>
        <v>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44408.624999999774</v>
      </c>
      <c r="AI97" s="234">
        <f ca="1">MIN(25%,(TblConstr[[#This Row],[Tot Fac]]+TblConstr[[#This Row],[Dest Fac]])/(TblConstr[[#This Row],[Land]]-TblExplore[[#This Row],[Land Bonus]]*20))</f>
        <v>7.4999999999999997E-2</v>
      </c>
      <c r="AJ97" s="234">
        <f ca="1">MIN(25%,(TblConstr[[#This Row],[Tot Fac]]+TblConstr[[#This Row],[Dest Fac]])/TblConstr[[#This Row],[Land]])</f>
        <v>7.4999999999999997E-2</v>
      </c>
      <c r="AK97" s="113">
        <f ca="1">TblProd[[#This Row],[Platinum]]</f>
        <v>966118</v>
      </c>
      <c r="AL97" s="113">
        <f ca="1">TblProd[[#This Row],[Lumber]]</f>
        <v>46831</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7" s="113">
        <f ca="1">ROUNDDOWN( MAX(1 - MIN(facs_constr_factor*TblConstr[[#This Row],[Facs -DB]],facs_constr_max) + tech_1_11*TblTech[[#This Row],[11-1]] + tech_6_3_2*TblTech[[#This Row],[6-3]] + tech_5_2_3*TblTech[[#This Row],[5-2]], 1-global_constr_cap) * TblConstr[[#This Row],[RCPA Lumber]],0)</f>
        <v>147</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7" s="113">
        <f ca="1">ROUNDDOWN( MAX(1 - MIN(facs_constr_factor*TblConstr[[#This Row],[Facs DB]],facs_constr_max) + tech_1_11*TblTech[[#This Row],[1-11]] + tech_6_3_2*TblTech[[#This Row],[6-3]] + tech_5_2_3*TblTech[[#This Row],[5-2]], 1-global_constr_cap) * TblConstr[[#This Row],[RCPA Lumber]],0)</f>
        <v>147</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1386</v>
      </c>
      <c r="AW97" s="113">
        <f ca="1">ROUND((MAX(TblConstr[[#This Row],[Buildings]],250,0.75*TblConstr[[#This Row],[Land]])-250) * 0.35+87.5,0)</f>
        <v>210</v>
      </c>
      <c r="AX97" s="200"/>
      <c r="AY97" s="243" cm="1">
        <f t="array" aca="1" ref="AY97" ca="1">IF(TblConstr[[#This Row],[Hour]:[Hour]]&gt;12,OFFSET(TblConstr[[#This Row],[Hom]],-12,0),0)+OFFSET(TblConstr[[#This Row],[Tot Hom]],-1,0)-TblConstr[[#This Row],[Dest Hom]]</f>
        <v>48</v>
      </c>
      <c r="AZ97" s="244" cm="1">
        <f t="array" aca="1" ref="AZ97" ca="1">IF(TblConstr[[#This Row],[Hour]:[Hour]]&gt;12,OFFSET(TblConstr[[#This Row],[Alc]],-12,0),0)+OFFSET(TblConstr[[#This Row],[Tot Alc]],-1,0)-TblConstr[[#This Row],[Dest Alc]]</f>
        <v>264</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108</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30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45</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15</v>
      </c>
      <c r="BM97" s="488" cm="1">
        <f t="array" aca="1" ref="BM97" ca="1">IF(TblConstr[[#This Row],[Hour]:[Hour]]&gt;12,OFFSET(TblConstr[[#This Row],[Tem]],-12,0),0)+OFFSET(TblConstr[[#This Row],[Tot Tem]],-1,0)-TblConstr[[#This Row],[Dest Tem]]</f>
        <v>20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20</v>
      </c>
      <c r="BR97" s="184"/>
      <c r="BS97" s="200"/>
      <c r="BT97" s="113">
        <f ca="1">TblConstr[[#This Row],[Land]]</f>
        <v>600</v>
      </c>
      <c r="BU97" s="205">
        <f ca="1">TblImps[[#This Row],[Time]]</f>
        <v>44408.624999999774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402</v>
      </c>
      <c r="DA97" s="113">
        <f t="shared" ca="1" si="24"/>
        <v>20</v>
      </c>
      <c r="DB97" s="49">
        <f t="shared" ca="1" si="25"/>
        <v>30</v>
      </c>
      <c r="DC97" s="113">
        <f t="shared" ca="1" si="26"/>
        <v>45</v>
      </c>
      <c r="DD97" s="113">
        <f t="shared" ca="1" si="27"/>
        <v>35</v>
      </c>
      <c r="DE97" s="49">
        <f t="shared" ca="1" si="28"/>
        <v>0</v>
      </c>
      <c r="DF97" s="113">
        <f t="shared" ca="1" si="29"/>
        <v>20</v>
      </c>
      <c r="DG97" s="113" cm="1">
        <f t="array" aca="1" ref="DG97" ca="1">INDEX(TblConstr[[Total Plain]:[Total Water]],ROW()-ROW(TblConstr[#Headers]),MATCH("Total "&amp;home_land,TblConstr[[#Headers],[Total Plain]:[Total Water]],0))+TblConstr[[#This Row],[Homes]]</f>
        <v>450</v>
      </c>
      <c r="DH97" s="49">
        <f t="shared" ca="1" si="22"/>
        <v>48</v>
      </c>
      <c r="DI97" s="49">
        <f t="shared" ca="1" si="19"/>
        <v>0</v>
      </c>
      <c r="DJ97" s="49">
        <f t="shared" ca="1" si="20"/>
        <v>0</v>
      </c>
    </row>
    <row r="98" spans="1:114" x14ac:dyDescent="0.2">
      <c r="A98" s="228">
        <f>TblRezone[[#This Row],[Hour]]</f>
        <v>95</v>
      </c>
      <c r="B98" s="229">
        <f ca="1">SUM(TblConstr[[#This Row],[Plain]:[Water]])</f>
        <v>0</v>
      </c>
      <c r="C98" s="230">
        <f ca="1">SUM(TblConstr[[#This Row],[Tot Hom]:[Tot Doc]])</f>
        <v>600</v>
      </c>
      <c r="D98" s="230">
        <f t="shared" si="21"/>
        <v>0</v>
      </c>
      <c r="E98" s="231"/>
      <c r="F98" s="74">
        <f ca="1">TblConstr[[#This Row],[Barren]]+TblConstr[[#This Row],[Buildings]]+TblConstr[[#This Row],[Incoming]]</f>
        <v>600</v>
      </c>
      <c r="G98" s="242">
        <f ca="1">OFFSET(TblConstr[[#This Row],[Plain]],-1,0)+TblConstr[[#This Row],[Ch_Plain]]</f>
        <v>0</v>
      </c>
      <c r="H98" s="236">
        <f ca="1">OFFSET(TblConstr[[#This Row],[Forest]],-1,0)+TblConstr[[#This Row],[Ch_Forest]]</f>
        <v>0</v>
      </c>
      <c r="I98" s="478">
        <f ca="1">OFFSET(TblConstr[[#This Row],[Mountain]],-1,0)+TblConstr[[#This Row],[Ch_Mountain]]</f>
        <v>0</v>
      </c>
      <c r="J98" s="482">
        <f ca="1">OFFSET(TblConstr[[#This Row],[Hill]],-1,0)+TblConstr[[#This Row],[Ch_Hill]]</f>
        <v>0</v>
      </c>
      <c r="K98" s="486">
        <f ca="1">OFFSET(TblConstr[[#This Row],[Swamp]],-1,0)+TblConstr[[#This Row],[Ch_Swamp]]</f>
        <v>0</v>
      </c>
      <c r="L98" s="239">
        <f ca="1">OFFSET(TblConstr[[#This Row],[Cavern]],-1,0)+TblConstr[[#This Row],[Ch_Cavern]]</f>
        <v>0</v>
      </c>
      <c r="M98" s="240">
        <f ca="1">OFFSET(TblConstr[[#This Row],[Water]],-1,0)+TblConstr[[#This Row],[Ch_Water]]</f>
        <v>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44408.666666666439</v>
      </c>
      <c r="AI98" s="234">
        <f ca="1">MIN(25%,(TblConstr[[#This Row],[Tot Fac]]+TblConstr[[#This Row],[Dest Fac]])/(TblConstr[[#This Row],[Land]]-TblExplore[[#This Row],[Land Bonus]]*20))</f>
        <v>7.4999999999999997E-2</v>
      </c>
      <c r="AJ98" s="234">
        <f ca="1">MIN(25%,(TblConstr[[#This Row],[Tot Fac]]+TblConstr[[#This Row],[Dest Fac]])/TblConstr[[#This Row],[Land]])</f>
        <v>7.4999999999999997E-2</v>
      </c>
      <c r="AK98" s="113">
        <f ca="1">TblProd[[#This Row],[Platinum]]</f>
        <v>994138</v>
      </c>
      <c r="AL98" s="113">
        <f ca="1">TblProd[[#This Row],[Lumber]]</f>
        <v>47363</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8" s="113">
        <f ca="1">ROUNDDOWN( MAX(1 - MIN(facs_constr_factor*TblConstr[[#This Row],[Facs -DB]],facs_constr_max) + tech_1_11*TblTech[[#This Row],[11-1]] + tech_6_3_2*TblTech[[#This Row],[6-3]] + tech_5_2_3*TblTech[[#This Row],[5-2]], 1-global_constr_cap) * TblConstr[[#This Row],[RCPA Lumber]],0)</f>
        <v>147</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8" s="113">
        <f ca="1">ROUNDDOWN( MAX(1 - MIN(facs_constr_factor*TblConstr[[#This Row],[Facs DB]],facs_constr_max) + tech_1_11*TblTech[[#This Row],[1-11]] + tech_6_3_2*TblTech[[#This Row],[6-3]] + tech_5_2_3*TblTech[[#This Row],[5-2]], 1-global_constr_cap) * TblConstr[[#This Row],[RCPA Lumber]],0)</f>
        <v>147</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1386</v>
      </c>
      <c r="AW98" s="113">
        <f ca="1">ROUND((MAX(TblConstr[[#This Row],[Buildings]],250,0.75*TblConstr[[#This Row],[Land]])-250) * 0.35+87.5,0)</f>
        <v>210</v>
      </c>
      <c r="AX98" s="200"/>
      <c r="AY98" s="243" cm="1">
        <f t="array" aca="1" ref="AY98" ca="1">IF(TblConstr[[#This Row],[Hour]:[Hour]]&gt;12,OFFSET(TblConstr[[#This Row],[Hom]],-12,0),0)+OFFSET(TblConstr[[#This Row],[Tot Hom]],-1,0)-TblConstr[[#This Row],[Dest Hom]]</f>
        <v>48</v>
      </c>
      <c r="AZ98" s="244" cm="1">
        <f t="array" aca="1" ref="AZ98" ca="1">IF(TblConstr[[#This Row],[Hour]:[Hour]]&gt;12,OFFSET(TblConstr[[#This Row],[Alc]],-12,0),0)+OFFSET(TblConstr[[#This Row],[Tot Alc]],-1,0)-TblConstr[[#This Row],[Dest Alc]]</f>
        <v>264</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108</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30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45</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15</v>
      </c>
      <c r="BM98" s="488" cm="1">
        <f t="array" aca="1" ref="BM98" ca="1">IF(TblConstr[[#This Row],[Hour]:[Hour]]&gt;12,OFFSET(TblConstr[[#This Row],[Tem]],-12,0),0)+OFFSET(TblConstr[[#This Row],[Tot Tem]],-1,0)-TblConstr[[#This Row],[Dest Tem]]</f>
        <v>20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20</v>
      </c>
      <c r="BR98" s="184"/>
      <c r="BS98" s="200"/>
      <c r="BT98" s="113">
        <f ca="1">TblConstr[[#This Row],[Land]]</f>
        <v>600</v>
      </c>
      <c r="BU98" s="205">
        <f ca="1">TblImps[[#This Row],[Time]]</f>
        <v>44408.666666666439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402</v>
      </c>
      <c r="DA98" s="113">
        <f t="shared" ca="1" si="24"/>
        <v>20</v>
      </c>
      <c r="DB98" s="49">
        <f t="shared" ca="1" si="25"/>
        <v>30</v>
      </c>
      <c r="DC98" s="113">
        <f t="shared" ca="1" si="26"/>
        <v>45</v>
      </c>
      <c r="DD98" s="113">
        <f t="shared" ca="1" si="27"/>
        <v>35</v>
      </c>
      <c r="DE98" s="49">
        <f t="shared" ca="1" si="28"/>
        <v>0</v>
      </c>
      <c r="DF98" s="113">
        <f t="shared" ca="1" si="29"/>
        <v>20</v>
      </c>
      <c r="DG98" s="113" cm="1">
        <f t="array" aca="1" ref="DG98" ca="1">INDEX(TblConstr[[Total Plain]:[Total Water]],ROW()-ROW(TblConstr[#Headers]),MATCH("Total "&amp;home_land,TblConstr[[#Headers],[Total Plain]:[Total Water]],0))+TblConstr[[#This Row],[Homes]]</f>
        <v>450</v>
      </c>
      <c r="DH98" s="49">
        <f t="shared" ca="1" si="22"/>
        <v>48</v>
      </c>
      <c r="DI98" s="49">
        <f t="shared" ca="1" si="19"/>
        <v>0</v>
      </c>
      <c r="DJ98" s="49">
        <f t="shared" ca="1" si="20"/>
        <v>0</v>
      </c>
    </row>
    <row r="99" spans="1:114" x14ac:dyDescent="0.2">
      <c r="A99" s="228">
        <f>TblRezone[[#This Row],[Hour]]</f>
        <v>96</v>
      </c>
      <c r="B99" s="229">
        <f ca="1">SUM(TblConstr[[#This Row],[Plain]:[Water]])</f>
        <v>0</v>
      </c>
      <c r="C99" s="230">
        <f ca="1">SUM(TblConstr[[#This Row],[Tot Hom]:[Tot Doc]])</f>
        <v>600</v>
      </c>
      <c r="D99" s="230">
        <f t="shared" si="21"/>
        <v>0</v>
      </c>
      <c r="E99" s="231"/>
      <c r="F99" s="74">
        <f ca="1">TblConstr[[#This Row],[Barren]]+TblConstr[[#This Row],[Buildings]]+TblConstr[[#This Row],[Incoming]]</f>
        <v>600</v>
      </c>
      <c r="G99" s="242">
        <f ca="1">OFFSET(TblConstr[[#This Row],[Plain]],-1,0)+TblConstr[[#This Row],[Ch_Plain]]</f>
        <v>0</v>
      </c>
      <c r="H99" s="236">
        <f ca="1">OFFSET(TblConstr[[#This Row],[Forest]],-1,0)+TblConstr[[#This Row],[Ch_Forest]]</f>
        <v>0</v>
      </c>
      <c r="I99" s="478">
        <f ca="1">OFFSET(TblConstr[[#This Row],[Mountain]],-1,0)+TblConstr[[#This Row],[Ch_Mountain]]</f>
        <v>0</v>
      </c>
      <c r="J99" s="482">
        <f ca="1">OFFSET(TblConstr[[#This Row],[Hill]],-1,0)+TblConstr[[#This Row],[Ch_Hill]]</f>
        <v>0</v>
      </c>
      <c r="K99" s="486">
        <f ca="1">OFFSET(TblConstr[[#This Row],[Swamp]],-1,0)+TblConstr[[#This Row],[Ch_Swamp]]</f>
        <v>0</v>
      </c>
      <c r="L99" s="239">
        <f ca="1">OFFSET(TblConstr[[#This Row],[Cavern]],-1,0)+TblConstr[[#This Row],[Ch_Cavern]]</f>
        <v>0</v>
      </c>
      <c r="M99" s="240">
        <f ca="1">OFFSET(TblConstr[[#This Row],[Water]],-1,0)+TblConstr[[#This Row],[Ch_Water]]</f>
        <v>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44408.708333333103</v>
      </c>
      <c r="AI99" s="234">
        <f ca="1">MIN(25%,(TblConstr[[#This Row],[Tot Fac]]+TblConstr[[#This Row],[Dest Fac]])/(TblConstr[[#This Row],[Land]]-TblExplore[[#This Row],[Land Bonus]]*20))</f>
        <v>7.4999999999999997E-2</v>
      </c>
      <c r="AJ99" s="234">
        <f ca="1">MIN(25%,(TblConstr[[#This Row],[Tot Fac]]+TblConstr[[#This Row],[Dest Fac]])/TblConstr[[#This Row],[Land]])</f>
        <v>7.4999999999999997E-2</v>
      </c>
      <c r="AK99" s="113">
        <f ca="1">TblProd[[#This Row],[Platinum]]</f>
        <v>1021996</v>
      </c>
      <c r="AL99" s="113">
        <f ca="1">TblProd[[#This Row],[Lumber]]</f>
        <v>47889</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9" s="113">
        <f ca="1">ROUNDDOWN( MAX(1 - MIN(facs_constr_factor*TblConstr[[#This Row],[Facs -DB]],facs_constr_max) + tech_1_11*TblTech[[#This Row],[11-1]] + tech_6_3_2*TblTech[[#This Row],[6-3]] + tech_5_2_3*TblTech[[#This Row],[5-2]], 1-global_constr_cap) * TblConstr[[#This Row],[RCPA Lumber]],0)</f>
        <v>147</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9" s="113">
        <f ca="1">ROUNDDOWN( MAX(1 - MIN(facs_constr_factor*TblConstr[[#This Row],[Facs DB]],facs_constr_max) + tech_1_11*TblTech[[#This Row],[1-11]] + tech_6_3_2*TblTech[[#This Row],[6-3]] + tech_5_2_3*TblTech[[#This Row],[5-2]], 1-global_constr_cap) * TblConstr[[#This Row],[RCPA Lumber]],0)</f>
        <v>147</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1386</v>
      </c>
      <c r="AW99" s="113">
        <f ca="1">ROUND((MAX(TblConstr[[#This Row],[Buildings]],250,0.75*TblConstr[[#This Row],[Land]])-250) * 0.35+87.5,0)</f>
        <v>210</v>
      </c>
      <c r="AX99" s="200"/>
      <c r="AY99" s="243" cm="1">
        <f t="array" aca="1" ref="AY99" ca="1">IF(TblConstr[[#This Row],[Hour]:[Hour]]&gt;12,OFFSET(TblConstr[[#This Row],[Hom]],-12,0),0)+OFFSET(TblConstr[[#This Row],[Tot Hom]],-1,0)-TblConstr[[#This Row],[Dest Hom]]</f>
        <v>48</v>
      </c>
      <c r="AZ99" s="244" cm="1">
        <f t="array" aca="1" ref="AZ99" ca="1">IF(TblConstr[[#This Row],[Hour]:[Hour]]&gt;12,OFFSET(TblConstr[[#This Row],[Alc]],-12,0),0)+OFFSET(TblConstr[[#This Row],[Tot Alc]],-1,0)-TblConstr[[#This Row],[Dest Alc]]</f>
        <v>264</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108</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30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45</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15</v>
      </c>
      <c r="BM99" s="488" cm="1">
        <f t="array" aca="1" ref="BM99" ca="1">IF(TblConstr[[#This Row],[Hour]:[Hour]]&gt;12,OFFSET(TblConstr[[#This Row],[Tem]],-12,0),0)+OFFSET(TblConstr[[#This Row],[Tot Tem]],-1,0)-TblConstr[[#This Row],[Dest Tem]]</f>
        <v>20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20</v>
      </c>
      <c r="BR99" s="184"/>
      <c r="BS99" s="200"/>
      <c r="BT99" s="113">
        <f ca="1">TblConstr[[#This Row],[Land]]</f>
        <v>600</v>
      </c>
      <c r="BU99" s="205">
        <f ca="1">TblImps[[#This Row],[Time]]</f>
        <v>44408.708333333103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402</v>
      </c>
      <c r="DA99" s="113">
        <f t="shared" ca="1" si="24"/>
        <v>20</v>
      </c>
      <c r="DB99" s="49">
        <f t="shared" ca="1" si="25"/>
        <v>30</v>
      </c>
      <c r="DC99" s="113">
        <f t="shared" ca="1" si="26"/>
        <v>45</v>
      </c>
      <c r="DD99" s="113">
        <f t="shared" ca="1" si="27"/>
        <v>35</v>
      </c>
      <c r="DE99" s="49">
        <f t="shared" ca="1" si="28"/>
        <v>0</v>
      </c>
      <c r="DF99" s="113">
        <f t="shared" ca="1" si="29"/>
        <v>20</v>
      </c>
      <c r="DG99" s="113" cm="1">
        <f t="array" aca="1" ref="DG99" ca="1">INDEX(TblConstr[[Total Plain]:[Total Water]],ROW()-ROW(TblConstr[#Headers]),MATCH("Total "&amp;home_land,TblConstr[[#Headers],[Total Plain]:[Total Water]],0))+TblConstr[[#This Row],[Homes]]</f>
        <v>450</v>
      </c>
      <c r="DH99" s="49">
        <f t="shared" ca="1" si="22"/>
        <v>48</v>
      </c>
      <c r="DI99" s="49">
        <f t="shared" ca="1" si="19"/>
        <v>0</v>
      </c>
      <c r="DJ99" s="49">
        <f t="shared" ca="1" si="20"/>
        <v>0</v>
      </c>
    </row>
    <row r="100" spans="1:114" x14ac:dyDescent="0.2">
      <c r="A100" s="228">
        <f>TblRezone[[#This Row],[Hour]]</f>
        <v>97</v>
      </c>
      <c r="B100" s="229">
        <f ca="1">SUM(TblConstr[[#This Row],[Plain]:[Water]])</f>
        <v>0</v>
      </c>
      <c r="C100" s="230">
        <f ca="1">SUM(TblConstr[[#This Row],[Tot Hom]:[Tot Doc]])</f>
        <v>600</v>
      </c>
      <c r="D100" s="230">
        <f t="shared" si="21"/>
        <v>0</v>
      </c>
      <c r="E100" s="231"/>
      <c r="F100" s="74">
        <f ca="1">TblConstr[[#This Row],[Barren]]+TblConstr[[#This Row],[Buildings]]+TblConstr[[#This Row],[Incoming]]</f>
        <v>600</v>
      </c>
      <c r="G100" s="242">
        <f ca="1">OFFSET(TblConstr[[#This Row],[Plain]],-1,0)+TblConstr[[#This Row],[Ch_Plain]]</f>
        <v>0</v>
      </c>
      <c r="H100" s="236">
        <f ca="1">OFFSET(TblConstr[[#This Row],[Forest]],-1,0)+TblConstr[[#This Row],[Ch_Forest]]</f>
        <v>0</v>
      </c>
      <c r="I100" s="478">
        <f ca="1">OFFSET(TblConstr[[#This Row],[Mountain]],-1,0)+TblConstr[[#This Row],[Ch_Mountain]]</f>
        <v>0</v>
      </c>
      <c r="J100" s="482">
        <f ca="1">OFFSET(TblConstr[[#This Row],[Hill]],-1,0)+TblConstr[[#This Row],[Ch_Hill]]</f>
        <v>0</v>
      </c>
      <c r="K100" s="486">
        <f ca="1">OFFSET(TblConstr[[#This Row],[Swamp]],-1,0)+TblConstr[[#This Row],[Ch_Swamp]]</f>
        <v>0</v>
      </c>
      <c r="L100" s="239">
        <f ca="1">OFFSET(TblConstr[[#This Row],[Cavern]],-1,0)+TblConstr[[#This Row],[Ch_Cavern]]</f>
        <v>0</v>
      </c>
      <c r="M100" s="240">
        <f ca="1">OFFSET(TblConstr[[#This Row],[Water]],-1,0)+TblConstr[[#This Row],[Ch_Water]]</f>
        <v>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44408.749999999767</v>
      </c>
      <c r="AI100" s="234">
        <f ca="1">MIN(25%,(TblConstr[[#This Row],[Tot Fac]]+TblConstr[[#This Row],[Dest Fac]])/(TblConstr[[#This Row],[Land]]-TblExplore[[#This Row],[Land Bonus]]*20))</f>
        <v>7.4999999999999997E-2</v>
      </c>
      <c r="AJ100" s="234">
        <f ca="1">MIN(25%,(TblConstr[[#This Row],[Tot Fac]]+TblConstr[[#This Row],[Dest Fac]])/TblConstr[[#This Row],[Land]])</f>
        <v>7.4999999999999997E-2</v>
      </c>
      <c r="AK100" s="113">
        <f ca="1">TblProd[[#This Row],[Platinum]]</f>
        <v>1049695</v>
      </c>
      <c r="AL100" s="113">
        <f ca="1">TblProd[[#This Row],[Lumber]]</f>
        <v>48410</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0" s="113">
        <f ca="1">ROUNDDOWN( MAX(1 - MIN(facs_constr_factor*TblConstr[[#This Row],[Facs -DB]],facs_constr_max) + tech_1_11*TblTech[[#This Row],[11-1]] + tech_6_3_2*TblTech[[#This Row],[6-3]] + tech_5_2_3*TblTech[[#This Row],[5-2]], 1-global_constr_cap) * TblConstr[[#This Row],[RCPA Lumber]],0)</f>
        <v>147</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0" s="113">
        <f ca="1">ROUNDDOWN( MAX(1 - MIN(facs_constr_factor*TblConstr[[#This Row],[Facs DB]],facs_constr_max) + tech_1_11*TblTech[[#This Row],[1-11]] + tech_6_3_2*TblTech[[#This Row],[6-3]] + tech_5_2_3*TblTech[[#This Row],[5-2]], 1-global_constr_cap) * TblConstr[[#This Row],[RCPA Lumber]],0)</f>
        <v>147</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1386</v>
      </c>
      <c r="AW100" s="113">
        <f ca="1">ROUND((MAX(TblConstr[[#This Row],[Buildings]],250,0.75*TblConstr[[#This Row],[Land]])-250) * 0.35+87.5,0)</f>
        <v>210</v>
      </c>
      <c r="AX100" s="200"/>
      <c r="AY100" s="243" cm="1">
        <f t="array" aca="1" ref="AY100" ca="1">IF(TblConstr[[#This Row],[Hour]:[Hour]]&gt;12,OFFSET(TblConstr[[#This Row],[Hom]],-12,0),0)+OFFSET(TblConstr[[#This Row],[Tot Hom]],-1,0)-TblConstr[[#This Row],[Dest Hom]]</f>
        <v>48</v>
      </c>
      <c r="AZ100" s="244" cm="1">
        <f t="array" aca="1" ref="AZ100" ca="1">IF(TblConstr[[#This Row],[Hour]:[Hour]]&gt;12,OFFSET(TblConstr[[#This Row],[Alc]],-12,0),0)+OFFSET(TblConstr[[#This Row],[Tot Alc]],-1,0)-TblConstr[[#This Row],[Dest Alc]]</f>
        <v>264</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108</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30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45</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15</v>
      </c>
      <c r="BM100" s="488" cm="1">
        <f t="array" aca="1" ref="BM100" ca="1">IF(TblConstr[[#This Row],[Hour]:[Hour]]&gt;12,OFFSET(TblConstr[[#This Row],[Tem]],-12,0),0)+OFFSET(TblConstr[[#This Row],[Tot Tem]],-1,0)-TblConstr[[#This Row],[Dest Tem]]</f>
        <v>20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20</v>
      </c>
      <c r="BR100" s="184"/>
      <c r="BS100" s="200"/>
      <c r="BT100" s="113">
        <f ca="1">TblConstr[[#This Row],[Land]]</f>
        <v>600</v>
      </c>
      <c r="BU100" s="205">
        <f ca="1">TblImps[[#This Row],[Time]]</f>
        <v>44408.749999999767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402</v>
      </c>
      <c r="DA100" s="113">
        <f t="shared" ca="1" si="24"/>
        <v>20</v>
      </c>
      <c r="DB100" s="49">
        <f t="shared" ca="1" si="25"/>
        <v>30</v>
      </c>
      <c r="DC100" s="113">
        <f t="shared" ca="1" si="26"/>
        <v>45</v>
      </c>
      <c r="DD100" s="113">
        <f t="shared" ca="1" si="27"/>
        <v>35</v>
      </c>
      <c r="DE100" s="49">
        <f t="shared" ca="1" si="28"/>
        <v>0</v>
      </c>
      <c r="DF100" s="113">
        <f t="shared" ca="1" si="29"/>
        <v>20</v>
      </c>
      <c r="DG100" s="113" cm="1">
        <f t="array" aca="1" ref="DG100" ca="1">INDEX(TblConstr[[Total Plain]:[Total Water]],ROW()-ROW(TblConstr[#Headers]),MATCH("Total "&amp;home_land,TblConstr[[#Headers],[Total Plain]:[Total Water]],0))+TblConstr[[#This Row],[Homes]]</f>
        <v>450</v>
      </c>
      <c r="DH100" s="49">
        <f t="shared" ca="1" si="22"/>
        <v>48</v>
      </c>
      <c r="DI100" s="49">
        <f t="shared" ca="1" si="19"/>
        <v>0</v>
      </c>
      <c r="DJ100" s="49">
        <f t="shared" ca="1" si="20"/>
        <v>0</v>
      </c>
    </row>
    <row r="101" spans="1:114" x14ac:dyDescent="0.2">
      <c r="A101" s="228">
        <f>TblRezone[[#This Row],[Hour]]</f>
        <v>98</v>
      </c>
      <c r="B101" s="229">
        <f ca="1">SUM(TblConstr[[#This Row],[Plain]:[Water]])</f>
        <v>0</v>
      </c>
      <c r="C101" s="230">
        <f ca="1">SUM(TblConstr[[#This Row],[Tot Hom]:[Tot Doc]])</f>
        <v>600</v>
      </c>
      <c r="D101" s="230">
        <f t="shared" si="21"/>
        <v>0</v>
      </c>
      <c r="E101" s="231"/>
      <c r="F101" s="74">
        <f ca="1">TblConstr[[#This Row],[Barren]]+TblConstr[[#This Row],[Buildings]]+TblConstr[[#This Row],[Incoming]]</f>
        <v>600</v>
      </c>
      <c r="G101" s="242">
        <f ca="1">OFFSET(TblConstr[[#This Row],[Plain]],-1,0)+TblConstr[[#This Row],[Ch_Plain]]</f>
        <v>0</v>
      </c>
      <c r="H101" s="236">
        <f ca="1">OFFSET(TblConstr[[#This Row],[Forest]],-1,0)+TblConstr[[#This Row],[Ch_Forest]]</f>
        <v>0</v>
      </c>
      <c r="I101" s="478">
        <f ca="1">OFFSET(TblConstr[[#This Row],[Mountain]],-1,0)+TblConstr[[#This Row],[Ch_Mountain]]</f>
        <v>0</v>
      </c>
      <c r="J101" s="482">
        <f ca="1">OFFSET(TblConstr[[#This Row],[Hill]],-1,0)+TblConstr[[#This Row],[Ch_Hill]]</f>
        <v>0</v>
      </c>
      <c r="K101" s="486">
        <f ca="1">OFFSET(TblConstr[[#This Row],[Swamp]],-1,0)+TblConstr[[#This Row],[Ch_Swamp]]</f>
        <v>0</v>
      </c>
      <c r="L101" s="239">
        <f ca="1">OFFSET(TblConstr[[#This Row],[Cavern]],-1,0)+TblConstr[[#This Row],[Ch_Cavern]]</f>
        <v>0</v>
      </c>
      <c r="M101" s="240">
        <f ca="1">OFFSET(TblConstr[[#This Row],[Water]],-1,0)+TblConstr[[#This Row],[Ch_Water]]</f>
        <v>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44408.791666666431</v>
      </c>
      <c r="AI101" s="234">
        <f ca="1">MIN(25%,(TblConstr[[#This Row],[Tot Fac]]+TblConstr[[#This Row],[Dest Fac]])/(TblConstr[[#This Row],[Land]]-TblExplore[[#This Row],[Land Bonus]]*20))</f>
        <v>7.4999999999999997E-2</v>
      </c>
      <c r="AJ101" s="234">
        <f ca="1">MIN(25%,(TblConstr[[#This Row],[Tot Fac]]+TblConstr[[#This Row],[Dest Fac]])/TblConstr[[#This Row],[Land]])</f>
        <v>7.4999999999999997E-2</v>
      </c>
      <c r="AK101" s="113">
        <f ca="1">TblProd[[#This Row],[Platinum]]</f>
        <v>1077235</v>
      </c>
      <c r="AL101" s="113">
        <f ca="1">TblProd[[#This Row],[Lumber]]</f>
        <v>48926</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1" s="113">
        <f ca="1">ROUNDDOWN( MAX(1 - MIN(facs_constr_factor*TblConstr[[#This Row],[Facs -DB]],facs_constr_max) + tech_1_11*TblTech[[#This Row],[11-1]] + tech_6_3_2*TblTech[[#This Row],[6-3]] + tech_5_2_3*TblTech[[#This Row],[5-2]], 1-global_constr_cap) * TblConstr[[#This Row],[RCPA Lumber]],0)</f>
        <v>147</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1" s="113">
        <f ca="1">ROUNDDOWN( MAX(1 - MIN(facs_constr_factor*TblConstr[[#This Row],[Facs DB]],facs_constr_max) + tech_1_11*TblTech[[#This Row],[1-11]] + tech_6_3_2*TblTech[[#This Row],[6-3]] + tech_5_2_3*TblTech[[#This Row],[5-2]], 1-global_constr_cap) * TblConstr[[#This Row],[RCPA Lumber]],0)</f>
        <v>147</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1386</v>
      </c>
      <c r="AW101" s="113">
        <f ca="1">ROUND((MAX(TblConstr[[#This Row],[Buildings]],250,0.75*TblConstr[[#This Row],[Land]])-250) * 0.35+87.5,0)</f>
        <v>210</v>
      </c>
      <c r="AX101" s="200"/>
      <c r="AY101" s="243" cm="1">
        <f t="array" aca="1" ref="AY101" ca="1">IF(TblConstr[[#This Row],[Hour]:[Hour]]&gt;12,OFFSET(TblConstr[[#This Row],[Hom]],-12,0),0)+OFFSET(TblConstr[[#This Row],[Tot Hom]],-1,0)-TblConstr[[#This Row],[Dest Hom]]</f>
        <v>48</v>
      </c>
      <c r="AZ101" s="244" cm="1">
        <f t="array" aca="1" ref="AZ101" ca="1">IF(TblConstr[[#This Row],[Hour]:[Hour]]&gt;12,OFFSET(TblConstr[[#This Row],[Alc]],-12,0),0)+OFFSET(TblConstr[[#This Row],[Tot Alc]],-1,0)-TblConstr[[#This Row],[Dest Alc]]</f>
        <v>264</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108</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30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45</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15</v>
      </c>
      <c r="BM101" s="488" cm="1">
        <f t="array" aca="1" ref="BM101" ca="1">IF(TblConstr[[#This Row],[Hour]:[Hour]]&gt;12,OFFSET(TblConstr[[#This Row],[Tem]],-12,0),0)+OFFSET(TblConstr[[#This Row],[Tot Tem]],-1,0)-TblConstr[[#This Row],[Dest Tem]]</f>
        <v>20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20</v>
      </c>
      <c r="BR101" s="184"/>
      <c r="BS101" s="200"/>
      <c r="BT101" s="113">
        <f ca="1">TblConstr[[#This Row],[Land]]</f>
        <v>600</v>
      </c>
      <c r="BU101" s="205">
        <f ca="1">TblImps[[#This Row],[Time]]</f>
        <v>44408.791666666431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402</v>
      </c>
      <c r="DA101" s="113">
        <f t="shared" ca="1" si="24"/>
        <v>20</v>
      </c>
      <c r="DB101" s="49">
        <f t="shared" ca="1" si="25"/>
        <v>30</v>
      </c>
      <c r="DC101" s="113">
        <f t="shared" ca="1" si="26"/>
        <v>45</v>
      </c>
      <c r="DD101" s="113">
        <f t="shared" ca="1" si="27"/>
        <v>35</v>
      </c>
      <c r="DE101" s="49">
        <f t="shared" ca="1" si="28"/>
        <v>0</v>
      </c>
      <c r="DF101" s="113">
        <f t="shared" ca="1" si="29"/>
        <v>20</v>
      </c>
      <c r="DG101" s="113" cm="1">
        <f t="array" aca="1" ref="DG101" ca="1">INDEX(TblConstr[[Total Plain]:[Total Water]],ROW()-ROW(TblConstr[#Headers]),MATCH("Total "&amp;home_land,TblConstr[[#Headers],[Total Plain]:[Total Water]],0))+TblConstr[[#This Row],[Homes]]</f>
        <v>450</v>
      </c>
      <c r="DH101" s="49">
        <f t="shared" ca="1" si="22"/>
        <v>48</v>
      </c>
      <c r="DI101" s="49">
        <f t="shared" ca="1" si="19"/>
        <v>0</v>
      </c>
      <c r="DJ101" s="49">
        <f t="shared" ca="1" si="20"/>
        <v>0</v>
      </c>
    </row>
    <row r="102" spans="1:114" x14ac:dyDescent="0.2">
      <c r="A102" s="228">
        <f>TblRezone[[#This Row],[Hour]]</f>
        <v>99</v>
      </c>
      <c r="B102" s="229">
        <f ca="1">SUM(TblConstr[[#This Row],[Plain]:[Water]])</f>
        <v>0</v>
      </c>
      <c r="C102" s="230">
        <f ca="1">SUM(TblConstr[[#This Row],[Tot Hom]:[Tot Doc]])</f>
        <v>600</v>
      </c>
      <c r="D102" s="230">
        <f t="shared" si="21"/>
        <v>0</v>
      </c>
      <c r="E102" s="231"/>
      <c r="F102" s="74">
        <f ca="1">TblConstr[[#This Row],[Barren]]+TblConstr[[#This Row],[Buildings]]+TblConstr[[#This Row],[Incoming]]</f>
        <v>600</v>
      </c>
      <c r="G102" s="242">
        <f ca="1">OFFSET(TblConstr[[#This Row],[Plain]],-1,0)+TblConstr[[#This Row],[Ch_Plain]]</f>
        <v>0</v>
      </c>
      <c r="H102" s="236">
        <f ca="1">OFFSET(TblConstr[[#This Row],[Forest]],-1,0)+TblConstr[[#This Row],[Ch_Forest]]</f>
        <v>0</v>
      </c>
      <c r="I102" s="478">
        <f ca="1">OFFSET(TblConstr[[#This Row],[Mountain]],-1,0)+TblConstr[[#This Row],[Ch_Mountain]]</f>
        <v>0</v>
      </c>
      <c r="J102" s="482">
        <f ca="1">OFFSET(TblConstr[[#This Row],[Hill]],-1,0)+TblConstr[[#This Row],[Ch_Hill]]</f>
        <v>0</v>
      </c>
      <c r="K102" s="486">
        <f ca="1">OFFSET(TblConstr[[#This Row],[Swamp]],-1,0)+TblConstr[[#This Row],[Ch_Swamp]]</f>
        <v>0</v>
      </c>
      <c r="L102" s="239">
        <f ca="1">OFFSET(TblConstr[[#This Row],[Cavern]],-1,0)+TblConstr[[#This Row],[Ch_Cavern]]</f>
        <v>0</v>
      </c>
      <c r="M102" s="240">
        <f ca="1">OFFSET(TblConstr[[#This Row],[Water]],-1,0)+TblConstr[[#This Row],[Ch_Water]]</f>
        <v>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44408.833333333096</v>
      </c>
      <c r="AI102" s="234">
        <f ca="1">MIN(25%,(TblConstr[[#This Row],[Tot Fac]]+TblConstr[[#This Row],[Dest Fac]])/(TblConstr[[#This Row],[Land]]-TblExplore[[#This Row],[Land Bonus]]*20))</f>
        <v>7.4999999999999997E-2</v>
      </c>
      <c r="AJ102" s="234">
        <f ca="1">MIN(25%,(TblConstr[[#This Row],[Tot Fac]]+TblConstr[[#This Row],[Dest Fac]])/TblConstr[[#This Row],[Land]])</f>
        <v>7.4999999999999997E-2</v>
      </c>
      <c r="AK102" s="113">
        <f ca="1">TblProd[[#This Row],[Platinum]]</f>
        <v>1104618</v>
      </c>
      <c r="AL102" s="113">
        <f ca="1">TblProd[[#This Row],[Lumber]]</f>
        <v>49437</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2" s="113">
        <f ca="1">ROUNDDOWN( MAX(1 - MIN(facs_constr_factor*TblConstr[[#This Row],[Facs -DB]],facs_constr_max) + tech_1_11*TblTech[[#This Row],[11-1]] + tech_6_3_2*TblTech[[#This Row],[6-3]] + tech_5_2_3*TblTech[[#This Row],[5-2]], 1-global_constr_cap) * TblConstr[[#This Row],[RCPA Lumber]],0)</f>
        <v>147</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2" s="113">
        <f ca="1">ROUNDDOWN( MAX(1 - MIN(facs_constr_factor*TblConstr[[#This Row],[Facs DB]],facs_constr_max) + tech_1_11*TblTech[[#This Row],[1-11]] + tech_6_3_2*TblTech[[#This Row],[6-3]] + tech_5_2_3*TblTech[[#This Row],[5-2]], 1-global_constr_cap) * TblConstr[[#This Row],[RCPA Lumber]],0)</f>
        <v>147</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1386</v>
      </c>
      <c r="AW102" s="113">
        <f ca="1">ROUND((MAX(TblConstr[[#This Row],[Buildings]],250,0.75*TblConstr[[#This Row],[Land]])-250) * 0.35+87.5,0)</f>
        <v>210</v>
      </c>
      <c r="AX102" s="200"/>
      <c r="AY102" s="243" cm="1">
        <f t="array" aca="1" ref="AY102" ca="1">IF(TblConstr[[#This Row],[Hour]:[Hour]]&gt;12,OFFSET(TblConstr[[#This Row],[Hom]],-12,0),0)+OFFSET(TblConstr[[#This Row],[Tot Hom]],-1,0)-TblConstr[[#This Row],[Dest Hom]]</f>
        <v>48</v>
      </c>
      <c r="AZ102" s="244" cm="1">
        <f t="array" aca="1" ref="AZ102" ca="1">IF(TblConstr[[#This Row],[Hour]:[Hour]]&gt;12,OFFSET(TblConstr[[#This Row],[Alc]],-12,0),0)+OFFSET(TblConstr[[#This Row],[Tot Alc]],-1,0)-TblConstr[[#This Row],[Dest Alc]]</f>
        <v>264</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108</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30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45</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15</v>
      </c>
      <c r="BM102" s="488" cm="1">
        <f t="array" aca="1" ref="BM102" ca="1">IF(TblConstr[[#This Row],[Hour]:[Hour]]&gt;12,OFFSET(TblConstr[[#This Row],[Tem]],-12,0),0)+OFFSET(TblConstr[[#This Row],[Tot Tem]],-1,0)-TblConstr[[#This Row],[Dest Tem]]</f>
        <v>20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20</v>
      </c>
      <c r="BR102" s="184"/>
      <c r="BS102" s="200"/>
      <c r="BT102" s="113">
        <f ca="1">TblConstr[[#This Row],[Land]]</f>
        <v>600</v>
      </c>
      <c r="BU102" s="205">
        <f ca="1">TblImps[[#This Row],[Time]]</f>
        <v>44408.833333333096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402</v>
      </c>
      <c r="DA102" s="113">
        <f t="shared" ca="1" si="24"/>
        <v>20</v>
      </c>
      <c r="DB102" s="49">
        <f t="shared" ca="1" si="25"/>
        <v>30</v>
      </c>
      <c r="DC102" s="113">
        <f t="shared" ca="1" si="26"/>
        <v>45</v>
      </c>
      <c r="DD102" s="113">
        <f t="shared" ca="1" si="27"/>
        <v>35</v>
      </c>
      <c r="DE102" s="49">
        <f t="shared" ca="1" si="28"/>
        <v>0</v>
      </c>
      <c r="DF102" s="113">
        <f t="shared" ca="1" si="29"/>
        <v>20</v>
      </c>
      <c r="DG102" s="113" cm="1">
        <f t="array" aca="1" ref="DG102" ca="1">INDEX(TblConstr[[Total Plain]:[Total Water]],ROW()-ROW(TblConstr[#Headers]),MATCH("Total "&amp;home_land,TblConstr[[#Headers],[Total Plain]:[Total Water]],0))+TblConstr[[#This Row],[Homes]]</f>
        <v>450</v>
      </c>
      <c r="DH102" s="49">
        <f t="shared" ca="1" si="22"/>
        <v>48</v>
      </c>
      <c r="DI102" s="49">
        <f t="shared" ca="1" si="19"/>
        <v>0</v>
      </c>
      <c r="DJ102" s="49">
        <f t="shared" ca="1" si="20"/>
        <v>0</v>
      </c>
    </row>
    <row r="103" spans="1:114" x14ac:dyDescent="0.2">
      <c r="A103" s="228">
        <f>TblRezone[[#This Row],[Hour]]</f>
        <v>100</v>
      </c>
      <c r="B103" s="229">
        <f ca="1">SUM(TblConstr[[#This Row],[Plain]:[Water]])</f>
        <v>0</v>
      </c>
      <c r="C103" s="230">
        <f ca="1">SUM(TblConstr[[#This Row],[Tot Hom]:[Tot Doc]])</f>
        <v>600</v>
      </c>
      <c r="D103" s="230">
        <f t="shared" si="21"/>
        <v>0</v>
      </c>
      <c r="E103" s="231"/>
      <c r="F103" s="74">
        <f ca="1">TblConstr[[#This Row],[Barren]]+TblConstr[[#This Row],[Buildings]]+TblConstr[[#This Row],[Incoming]]</f>
        <v>600</v>
      </c>
      <c r="G103" s="242">
        <f ca="1">OFFSET(TblConstr[[#This Row],[Plain]],-1,0)+TblConstr[[#This Row],[Ch_Plain]]</f>
        <v>0</v>
      </c>
      <c r="H103" s="236">
        <f ca="1">OFFSET(TblConstr[[#This Row],[Forest]],-1,0)+TblConstr[[#This Row],[Ch_Forest]]</f>
        <v>0</v>
      </c>
      <c r="I103" s="478">
        <f ca="1">OFFSET(TblConstr[[#This Row],[Mountain]],-1,0)+TblConstr[[#This Row],[Ch_Mountain]]</f>
        <v>0</v>
      </c>
      <c r="J103" s="482">
        <f ca="1">OFFSET(TblConstr[[#This Row],[Hill]],-1,0)+TblConstr[[#This Row],[Ch_Hill]]</f>
        <v>0</v>
      </c>
      <c r="K103" s="486">
        <f ca="1">OFFSET(TblConstr[[#This Row],[Swamp]],-1,0)+TblConstr[[#This Row],[Ch_Swamp]]</f>
        <v>0</v>
      </c>
      <c r="L103" s="239">
        <f ca="1">OFFSET(TblConstr[[#This Row],[Cavern]],-1,0)+TblConstr[[#This Row],[Ch_Cavern]]</f>
        <v>0</v>
      </c>
      <c r="M103" s="240">
        <f ca="1">OFFSET(TblConstr[[#This Row],[Water]],-1,0)+TblConstr[[#This Row],[Ch_Water]]</f>
        <v>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44408.87499999976</v>
      </c>
      <c r="AI103" s="234">
        <f ca="1">MIN(25%,(TblConstr[[#This Row],[Tot Fac]]+TblConstr[[#This Row],[Dest Fac]])/(TblConstr[[#This Row],[Land]]-TblExplore[[#This Row],[Land Bonus]]*20))</f>
        <v>7.4999999999999997E-2</v>
      </c>
      <c r="AJ103" s="234">
        <f ca="1">MIN(25%,(TblConstr[[#This Row],[Tot Fac]]+TblConstr[[#This Row],[Dest Fac]])/TblConstr[[#This Row],[Land]])</f>
        <v>7.4999999999999997E-2</v>
      </c>
      <c r="AK103" s="113">
        <f ca="1">TblProd[[#This Row],[Platinum]]</f>
        <v>1131847</v>
      </c>
      <c r="AL103" s="113">
        <f ca="1">TblProd[[#This Row],[Lumber]]</f>
        <v>49943</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3" s="113">
        <f ca="1">ROUNDDOWN( MAX(1 - MIN(facs_constr_factor*TblConstr[[#This Row],[Facs -DB]],facs_constr_max) + tech_1_11*TblTech[[#This Row],[11-1]] + tech_6_3_2*TblTech[[#This Row],[6-3]] + tech_5_2_3*TblTech[[#This Row],[5-2]], 1-global_constr_cap) * TblConstr[[#This Row],[RCPA Lumber]],0)</f>
        <v>147</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3" s="113">
        <f ca="1">ROUNDDOWN( MAX(1 - MIN(facs_constr_factor*TblConstr[[#This Row],[Facs DB]],facs_constr_max) + tech_1_11*TblTech[[#This Row],[1-11]] + tech_6_3_2*TblTech[[#This Row],[6-3]] + tech_5_2_3*TblTech[[#This Row],[5-2]], 1-global_constr_cap) * TblConstr[[#This Row],[RCPA Lumber]],0)</f>
        <v>147</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1386</v>
      </c>
      <c r="AW103" s="113">
        <f ca="1">ROUND((MAX(TblConstr[[#This Row],[Buildings]],250,0.75*TblConstr[[#This Row],[Land]])-250) * 0.35+87.5,0)</f>
        <v>210</v>
      </c>
      <c r="AX103" s="200"/>
      <c r="AY103" s="243" cm="1">
        <f t="array" aca="1" ref="AY103" ca="1">IF(TblConstr[[#This Row],[Hour]:[Hour]]&gt;12,OFFSET(TblConstr[[#This Row],[Hom]],-12,0),0)+OFFSET(TblConstr[[#This Row],[Tot Hom]],-1,0)-TblConstr[[#This Row],[Dest Hom]]</f>
        <v>48</v>
      </c>
      <c r="AZ103" s="244" cm="1">
        <f t="array" aca="1" ref="AZ103" ca="1">IF(TblConstr[[#This Row],[Hour]:[Hour]]&gt;12,OFFSET(TblConstr[[#This Row],[Alc]],-12,0),0)+OFFSET(TblConstr[[#This Row],[Tot Alc]],-1,0)-TblConstr[[#This Row],[Dest Alc]]</f>
        <v>264</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108</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30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45</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15</v>
      </c>
      <c r="BM103" s="488" cm="1">
        <f t="array" aca="1" ref="BM103" ca="1">IF(TblConstr[[#This Row],[Hour]:[Hour]]&gt;12,OFFSET(TblConstr[[#This Row],[Tem]],-12,0),0)+OFFSET(TblConstr[[#This Row],[Tot Tem]],-1,0)-TblConstr[[#This Row],[Dest Tem]]</f>
        <v>20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20</v>
      </c>
      <c r="BR103" s="184"/>
      <c r="BS103" s="200"/>
      <c r="BT103" s="113">
        <f ca="1">TblConstr[[#This Row],[Land]]</f>
        <v>600</v>
      </c>
      <c r="BU103" s="205">
        <f ca="1">TblImps[[#This Row],[Time]]</f>
        <v>44408.87499999976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402</v>
      </c>
      <c r="DA103" s="113">
        <f t="shared" ca="1" si="24"/>
        <v>20</v>
      </c>
      <c r="DB103" s="49">
        <f t="shared" ca="1" si="25"/>
        <v>30</v>
      </c>
      <c r="DC103" s="113">
        <f t="shared" ca="1" si="26"/>
        <v>45</v>
      </c>
      <c r="DD103" s="113">
        <f t="shared" ca="1" si="27"/>
        <v>35</v>
      </c>
      <c r="DE103" s="49">
        <f t="shared" ca="1" si="28"/>
        <v>0</v>
      </c>
      <c r="DF103" s="113">
        <f t="shared" ca="1" si="29"/>
        <v>20</v>
      </c>
      <c r="DG103" s="113" cm="1">
        <f t="array" aca="1" ref="DG103" ca="1">INDEX(TblConstr[[Total Plain]:[Total Water]],ROW()-ROW(TblConstr[#Headers]),MATCH("Total "&amp;home_land,TblConstr[[#Headers],[Total Plain]:[Total Water]],0))+TblConstr[[#This Row],[Homes]]</f>
        <v>450</v>
      </c>
      <c r="DH103" s="49">
        <f t="shared" ca="1" si="22"/>
        <v>48</v>
      </c>
      <c r="DI103" s="49">
        <f t="shared" ca="1" si="19"/>
        <v>0</v>
      </c>
      <c r="DJ103" s="49">
        <f t="shared" ca="1" si="20"/>
        <v>0</v>
      </c>
    </row>
    <row r="104" spans="1:114" x14ac:dyDescent="0.2">
      <c r="A104" s="228">
        <f>TblRezone[[#This Row],[Hour]]</f>
        <v>101</v>
      </c>
      <c r="B104" s="229">
        <f ca="1">SUM(TblConstr[[#This Row],[Plain]:[Water]])</f>
        <v>0</v>
      </c>
      <c r="C104" s="230">
        <f ca="1">SUM(TblConstr[[#This Row],[Tot Hom]:[Tot Doc]])</f>
        <v>600</v>
      </c>
      <c r="D104" s="230">
        <f t="shared" si="21"/>
        <v>0</v>
      </c>
      <c r="E104" s="231"/>
      <c r="F104" s="74">
        <f ca="1">TblConstr[[#This Row],[Barren]]+TblConstr[[#This Row],[Buildings]]+TblConstr[[#This Row],[Incoming]]</f>
        <v>600</v>
      </c>
      <c r="G104" s="242">
        <f ca="1">OFFSET(TblConstr[[#This Row],[Plain]],-1,0)+TblConstr[[#This Row],[Ch_Plain]]</f>
        <v>0</v>
      </c>
      <c r="H104" s="236">
        <f ca="1">OFFSET(TblConstr[[#This Row],[Forest]],-1,0)+TblConstr[[#This Row],[Ch_Forest]]</f>
        <v>0</v>
      </c>
      <c r="I104" s="478">
        <f ca="1">OFFSET(TblConstr[[#This Row],[Mountain]],-1,0)+TblConstr[[#This Row],[Ch_Mountain]]</f>
        <v>0</v>
      </c>
      <c r="J104" s="482">
        <f ca="1">OFFSET(TblConstr[[#This Row],[Hill]],-1,0)+TblConstr[[#This Row],[Ch_Hill]]</f>
        <v>0</v>
      </c>
      <c r="K104" s="486">
        <f ca="1">OFFSET(TblConstr[[#This Row],[Swamp]],-1,0)+TblConstr[[#This Row],[Ch_Swamp]]</f>
        <v>0</v>
      </c>
      <c r="L104" s="239">
        <f ca="1">OFFSET(TblConstr[[#This Row],[Cavern]],-1,0)+TblConstr[[#This Row],[Ch_Cavern]]</f>
        <v>0</v>
      </c>
      <c r="M104" s="240">
        <f ca="1">OFFSET(TblConstr[[#This Row],[Water]],-1,0)+TblConstr[[#This Row],[Ch_Water]]</f>
        <v>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44408.916666666424</v>
      </c>
      <c r="AI104" s="234">
        <f ca="1">MIN(25%,(TblConstr[[#This Row],[Tot Fac]]+TblConstr[[#This Row],[Dest Fac]])/(TblConstr[[#This Row],[Land]]-TblExplore[[#This Row],[Land Bonus]]*20))</f>
        <v>7.4999999999999997E-2</v>
      </c>
      <c r="AJ104" s="234">
        <f ca="1">MIN(25%,(TblConstr[[#This Row],[Tot Fac]]+TblConstr[[#This Row],[Dest Fac]])/TblConstr[[#This Row],[Land]])</f>
        <v>7.4999999999999997E-2</v>
      </c>
      <c r="AK104" s="113">
        <f ca="1">TblProd[[#This Row],[Platinum]]</f>
        <v>1158922</v>
      </c>
      <c r="AL104" s="113">
        <f ca="1">TblProd[[#This Row],[Lumber]]</f>
        <v>50444</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4" s="113">
        <f ca="1">ROUNDDOWN( MAX(1 - MIN(facs_constr_factor*TblConstr[[#This Row],[Facs -DB]],facs_constr_max) + tech_1_11*TblTech[[#This Row],[11-1]] + tech_6_3_2*TblTech[[#This Row],[6-3]] + tech_5_2_3*TblTech[[#This Row],[5-2]], 1-global_constr_cap) * TblConstr[[#This Row],[RCPA Lumber]],0)</f>
        <v>147</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4" s="113">
        <f ca="1">ROUNDDOWN( MAX(1 - MIN(facs_constr_factor*TblConstr[[#This Row],[Facs DB]],facs_constr_max) + tech_1_11*TblTech[[#This Row],[1-11]] + tech_6_3_2*TblTech[[#This Row],[6-3]] + tech_5_2_3*TblTech[[#This Row],[5-2]], 1-global_constr_cap) * TblConstr[[#This Row],[RCPA Lumber]],0)</f>
        <v>147</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1386</v>
      </c>
      <c r="AW104" s="113">
        <f ca="1">ROUND((MAX(TblConstr[[#This Row],[Buildings]],250,0.75*TblConstr[[#This Row],[Land]])-250) * 0.35+87.5,0)</f>
        <v>210</v>
      </c>
      <c r="AX104" s="200"/>
      <c r="AY104" s="243" cm="1">
        <f t="array" aca="1" ref="AY104" ca="1">IF(TblConstr[[#This Row],[Hour]:[Hour]]&gt;12,OFFSET(TblConstr[[#This Row],[Hom]],-12,0),0)+OFFSET(TblConstr[[#This Row],[Tot Hom]],-1,0)-TblConstr[[#This Row],[Dest Hom]]</f>
        <v>48</v>
      </c>
      <c r="AZ104" s="244" cm="1">
        <f t="array" aca="1" ref="AZ104" ca="1">IF(TblConstr[[#This Row],[Hour]:[Hour]]&gt;12,OFFSET(TblConstr[[#This Row],[Alc]],-12,0),0)+OFFSET(TblConstr[[#This Row],[Tot Alc]],-1,0)-TblConstr[[#This Row],[Dest Alc]]</f>
        <v>264</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108</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30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45</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15</v>
      </c>
      <c r="BM104" s="488" cm="1">
        <f t="array" aca="1" ref="BM104" ca="1">IF(TblConstr[[#This Row],[Hour]:[Hour]]&gt;12,OFFSET(TblConstr[[#This Row],[Tem]],-12,0),0)+OFFSET(TblConstr[[#This Row],[Tot Tem]],-1,0)-TblConstr[[#This Row],[Dest Tem]]</f>
        <v>20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20</v>
      </c>
      <c r="BR104" s="184"/>
      <c r="BS104" s="200"/>
      <c r="BT104" s="113">
        <f ca="1">TblConstr[[#This Row],[Land]]</f>
        <v>600</v>
      </c>
      <c r="BU104" s="205">
        <f ca="1">TblImps[[#This Row],[Time]]</f>
        <v>44408.916666666424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402</v>
      </c>
      <c r="DA104" s="113">
        <f t="shared" ca="1" si="24"/>
        <v>20</v>
      </c>
      <c r="DB104" s="49">
        <f t="shared" ca="1" si="25"/>
        <v>30</v>
      </c>
      <c r="DC104" s="113">
        <f t="shared" ca="1" si="26"/>
        <v>45</v>
      </c>
      <c r="DD104" s="113">
        <f t="shared" ca="1" si="27"/>
        <v>35</v>
      </c>
      <c r="DE104" s="49">
        <f t="shared" ca="1" si="28"/>
        <v>0</v>
      </c>
      <c r="DF104" s="113">
        <f t="shared" ca="1" si="29"/>
        <v>20</v>
      </c>
      <c r="DG104" s="113" cm="1">
        <f t="array" aca="1" ref="DG104" ca="1">INDEX(TblConstr[[Total Plain]:[Total Water]],ROW()-ROW(TblConstr[#Headers]),MATCH("Total "&amp;home_land,TblConstr[[#Headers],[Total Plain]:[Total Water]],0))+TblConstr[[#This Row],[Homes]]</f>
        <v>450</v>
      </c>
      <c r="DH104" s="49">
        <f t="shared" ca="1" si="22"/>
        <v>48</v>
      </c>
      <c r="DI104" s="49">
        <f t="shared" ca="1" si="19"/>
        <v>0</v>
      </c>
      <c r="DJ104" s="49">
        <f t="shared" ca="1" si="20"/>
        <v>0</v>
      </c>
    </row>
    <row r="105" spans="1:114" x14ac:dyDescent="0.2">
      <c r="A105" s="228">
        <f>TblRezone[[#This Row],[Hour]]</f>
        <v>102</v>
      </c>
      <c r="B105" s="229">
        <f ca="1">SUM(TblConstr[[#This Row],[Plain]:[Water]])</f>
        <v>0</v>
      </c>
      <c r="C105" s="230">
        <f ca="1">SUM(TblConstr[[#This Row],[Tot Hom]:[Tot Doc]])</f>
        <v>600</v>
      </c>
      <c r="D105" s="230">
        <f t="shared" si="21"/>
        <v>0</v>
      </c>
      <c r="E105" s="231"/>
      <c r="F105" s="74">
        <f ca="1">TblConstr[[#This Row],[Barren]]+TblConstr[[#This Row],[Buildings]]+TblConstr[[#This Row],[Incoming]]</f>
        <v>600</v>
      </c>
      <c r="G105" s="242">
        <f ca="1">OFFSET(TblConstr[[#This Row],[Plain]],-1,0)+TblConstr[[#This Row],[Ch_Plain]]</f>
        <v>0</v>
      </c>
      <c r="H105" s="236">
        <f ca="1">OFFSET(TblConstr[[#This Row],[Forest]],-1,0)+TblConstr[[#This Row],[Ch_Forest]]</f>
        <v>0</v>
      </c>
      <c r="I105" s="478">
        <f ca="1">OFFSET(TblConstr[[#This Row],[Mountain]],-1,0)+TblConstr[[#This Row],[Ch_Mountain]]</f>
        <v>0</v>
      </c>
      <c r="J105" s="482">
        <f ca="1">OFFSET(TblConstr[[#This Row],[Hill]],-1,0)+TblConstr[[#This Row],[Ch_Hill]]</f>
        <v>0</v>
      </c>
      <c r="K105" s="486">
        <f ca="1">OFFSET(TblConstr[[#This Row],[Swamp]],-1,0)+TblConstr[[#This Row],[Ch_Swamp]]</f>
        <v>0</v>
      </c>
      <c r="L105" s="239">
        <f ca="1">OFFSET(TblConstr[[#This Row],[Cavern]],-1,0)+TblConstr[[#This Row],[Ch_Cavern]]</f>
        <v>0</v>
      </c>
      <c r="M105" s="240">
        <f ca="1">OFFSET(TblConstr[[#This Row],[Water]],-1,0)+TblConstr[[#This Row],[Ch_Water]]</f>
        <v>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44408.958333333088</v>
      </c>
      <c r="AI105" s="234">
        <f ca="1">MIN(25%,(TblConstr[[#This Row],[Tot Fac]]+TblConstr[[#This Row],[Dest Fac]])/(TblConstr[[#This Row],[Land]]-TblExplore[[#This Row],[Land Bonus]]*20))</f>
        <v>7.4999999999999997E-2</v>
      </c>
      <c r="AJ105" s="234">
        <f ca="1">MIN(25%,(TblConstr[[#This Row],[Tot Fac]]+TblConstr[[#This Row],[Dest Fac]])/TblConstr[[#This Row],[Land]])</f>
        <v>7.4999999999999997E-2</v>
      </c>
      <c r="AK105" s="113">
        <f ca="1">TblProd[[#This Row],[Platinum]]</f>
        <v>1185846</v>
      </c>
      <c r="AL105" s="113">
        <f ca="1">TblProd[[#This Row],[Lumber]]</f>
        <v>50940</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5" s="113">
        <f ca="1">ROUNDDOWN( MAX(1 - MIN(facs_constr_factor*TblConstr[[#This Row],[Facs -DB]],facs_constr_max) + tech_1_11*TblTech[[#This Row],[11-1]] + tech_6_3_2*TblTech[[#This Row],[6-3]] + tech_5_2_3*TblTech[[#This Row],[5-2]], 1-global_constr_cap) * TblConstr[[#This Row],[RCPA Lumber]],0)</f>
        <v>147</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5" s="113">
        <f ca="1">ROUNDDOWN( MAX(1 - MIN(facs_constr_factor*TblConstr[[#This Row],[Facs DB]],facs_constr_max) + tech_1_11*TblTech[[#This Row],[1-11]] + tech_6_3_2*TblTech[[#This Row],[6-3]] + tech_5_2_3*TblTech[[#This Row],[5-2]], 1-global_constr_cap) * TblConstr[[#This Row],[RCPA Lumber]],0)</f>
        <v>147</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1386</v>
      </c>
      <c r="AW105" s="113">
        <f ca="1">ROUND((MAX(TblConstr[[#This Row],[Buildings]],250,0.75*TblConstr[[#This Row],[Land]])-250) * 0.35+87.5,0)</f>
        <v>210</v>
      </c>
      <c r="AX105" s="200"/>
      <c r="AY105" s="243" cm="1">
        <f t="array" aca="1" ref="AY105" ca="1">IF(TblConstr[[#This Row],[Hour]:[Hour]]&gt;12,OFFSET(TblConstr[[#This Row],[Hom]],-12,0),0)+OFFSET(TblConstr[[#This Row],[Tot Hom]],-1,0)-TblConstr[[#This Row],[Dest Hom]]</f>
        <v>48</v>
      </c>
      <c r="AZ105" s="244" cm="1">
        <f t="array" aca="1" ref="AZ105" ca="1">IF(TblConstr[[#This Row],[Hour]:[Hour]]&gt;12,OFFSET(TblConstr[[#This Row],[Alc]],-12,0),0)+OFFSET(TblConstr[[#This Row],[Tot Alc]],-1,0)-TblConstr[[#This Row],[Dest Alc]]</f>
        <v>264</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108</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30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45</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15</v>
      </c>
      <c r="BM105" s="488" cm="1">
        <f t="array" aca="1" ref="BM105" ca="1">IF(TblConstr[[#This Row],[Hour]:[Hour]]&gt;12,OFFSET(TblConstr[[#This Row],[Tem]],-12,0),0)+OFFSET(TblConstr[[#This Row],[Tot Tem]],-1,0)-TblConstr[[#This Row],[Dest Tem]]</f>
        <v>20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20</v>
      </c>
      <c r="BR105" s="184"/>
      <c r="BS105" s="200"/>
      <c r="BT105" s="113">
        <f ca="1">TblConstr[[#This Row],[Land]]</f>
        <v>600</v>
      </c>
      <c r="BU105" s="205">
        <f ca="1">TblImps[[#This Row],[Time]]</f>
        <v>44408.958333333088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402</v>
      </c>
      <c r="DA105" s="113">
        <f t="shared" ca="1" si="24"/>
        <v>20</v>
      </c>
      <c r="DB105" s="49">
        <f t="shared" ca="1" si="25"/>
        <v>30</v>
      </c>
      <c r="DC105" s="113">
        <f t="shared" ca="1" si="26"/>
        <v>45</v>
      </c>
      <c r="DD105" s="113">
        <f t="shared" ca="1" si="27"/>
        <v>35</v>
      </c>
      <c r="DE105" s="49">
        <f t="shared" ca="1" si="28"/>
        <v>0</v>
      </c>
      <c r="DF105" s="113">
        <f t="shared" ca="1" si="29"/>
        <v>20</v>
      </c>
      <c r="DG105" s="113" cm="1">
        <f t="array" aca="1" ref="DG105" ca="1">INDEX(TblConstr[[Total Plain]:[Total Water]],ROW()-ROW(TblConstr[#Headers]),MATCH("Total "&amp;home_land,TblConstr[[#Headers],[Total Plain]:[Total Water]],0))+TblConstr[[#This Row],[Homes]]</f>
        <v>450</v>
      </c>
      <c r="DH105" s="49">
        <f t="shared" ca="1" si="22"/>
        <v>48</v>
      </c>
      <c r="DI105" s="49">
        <f t="shared" ca="1" si="19"/>
        <v>0</v>
      </c>
      <c r="DJ105" s="49">
        <f t="shared" ca="1" si="20"/>
        <v>0</v>
      </c>
    </row>
    <row r="106" spans="1:114" x14ac:dyDescent="0.2">
      <c r="A106" s="228">
        <f>TblRezone[[#This Row],[Hour]]</f>
        <v>103</v>
      </c>
      <c r="B106" s="229">
        <f ca="1">SUM(TblConstr[[#This Row],[Plain]:[Water]])</f>
        <v>0</v>
      </c>
      <c r="C106" s="230">
        <f ca="1">SUM(TblConstr[[#This Row],[Tot Hom]:[Tot Doc]])</f>
        <v>600</v>
      </c>
      <c r="D106" s="230">
        <f t="shared" si="21"/>
        <v>0</v>
      </c>
      <c r="E106" s="231"/>
      <c r="F106" s="74">
        <f ca="1">TblConstr[[#This Row],[Barren]]+TblConstr[[#This Row],[Buildings]]+TblConstr[[#This Row],[Incoming]]</f>
        <v>600</v>
      </c>
      <c r="G106" s="242">
        <f ca="1">OFFSET(TblConstr[[#This Row],[Plain]],-1,0)+TblConstr[[#This Row],[Ch_Plain]]</f>
        <v>0</v>
      </c>
      <c r="H106" s="236">
        <f ca="1">OFFSET(TblConstr[[#This Row],[Forest]],-1,0)+TblConstr[[#This Row],[Ch_Forest]]</f>
        <v>0</v>
      </c>
      <c r="I106" s="478">
        <f ca="1">OFFSET(TblConstr[[#This Row],[Mountain]],-1,0)+TblConstr[[#This Row],[Ch_Mountain]]</f>
        <v>0</v>
      </c>
      <c r="J106" s="482">
        <f ca="1">OFFSET(TblConstr[[#This Row],[Hill]],-1,0)+TblConstr[[#This Row],[Ch_Hill]]</f>
        <v>0</v>
      </c>
      <c r="K106" s="486">
        <f ca="1">OFFSET(TblConstr[[#This Row],[Swamp]],-1,0)+TblConstr[[#This Row],[Ch_Swamp]]</f>
        <v>0</v>
      </c>
      <c r="L106" s="239">
        <f ca="1">OFFSET(TblConstr[[#This Row],[Cavern]],-1,0)+TblConstr[[#This Row],[Ch_Cavern]]</f>
        <v>0</v>
      </c>
      <c r="M106" s="240">
        <f ca="1">OFFSET(TblConstr[[#This Row],[Water]],-1,0)+TblConstr[[#This Row],[Ch_Water]]</f>
        <v>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44408.999999999753</v>
      </c>
      <c r="AI106" s="234">
        <f ca="1">MIN(25%,(TblConstr[[#This Row],[Tot Fac]]+TblConstr[[#This Row],[Dest Fac]])/(TblConstr[[#This Row],[Land]]-TblExplore[[#This Row],[Land Bonus]]*20))</f>
        <v>7.4999999999999997E-2</v>
      </c>
      <c r="AJ106" s="234">
        <f ca="1">MIN(25%,(TblConstr[[#This Row],[Tot Fac]]+TblConstr[[#This Row],[Dest Fac]])/TblConstr[[#This Row],[Land]])</f>
        <v>7.4999999999999997E-2</v>
      </c>
      <c r="AK106" s="113">
        <f ca="1">TblProd[[#This Row],[Platinum]]</f>
        <v>1212619</v>
      </c>
      <c r="AL106" s="113">
        <f ca="1">TblProd[[#This Row],[Lumber]]</f>
        <v>51431</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6" s="113">
        <f ca="1">ROUNDDOWN( MAX(1 - MIN(facs_constr_factor*TblConstr[[#This Row],[Facs -DB]],facs_constr_max) + tech_1_11*TblTech[[#This Row],[11-1]] + tech_6_3_2*TblTech[[#This Row],[6-3]] + tech_5_2_3*TblTech[[#This Row],[5-2]], 1-global_constr_cap) * TblConstr[[#This Row],[RCPA Lumber]],0)</f>
        <v>147</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6" s="113">
        <f ca="1">ROUNDDOWN( MAX(1 - MIN(facs_constr_factor*TblConstr[[#This Row],[Facs DB]],facs_constr_max) + tech_1_11*TblTech[[#This Row],[1-11]] + tech_6_3_2*TblTech[[#This Row],[6-3]] + tech_5_2_3*TblTech[[#This Row],[5-2]], 1-global_constr_cap) * TblConstr[[#This Row],[RCPA Lumber]],0)</f>
        <v>147</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1386</v>
      </c>
      <c r="AW106" s="113">
        <f ca="1">ROUND((MAX(TblConstr[[#This Row],[Buildings]],250,0.75*TblConstr[[#This Row],[Land]])-250) * 0.35+87.5,0)</f>
        <v>210</v>
      </c>
      <c r="AX106" s="200"/>
      <c r="AY106" s="243" cm="1">
        <f t="array" aca="1" ref="AY106" ca="1">IF(TblConstr[[#This Row],[Hour]:[Hour]]&gt;12,OFFSET(TblConstr[[#This Row],[Hom]],-12,0),0)+OFFSET(TblConstr[[#This Row],[Tot Hom]],-1,0)-TblConstr[[#This Row],[Dest Hom]]</f>
        <v>48</v>
      </c>
      <c r="AZ106" s="244" cm="1">
        <f t="array" aca="1" ref="AZ106" ca="1">IF(TblConstr[[#This Row],[Hour]:[Hour]]&gt;12,OFFSET(TblConstr[[#This Row],[Alc]],-12,0),0)+OFFSET(TblConstr[[#This Row],[Tot Alc]],-1,0)-TblConstr[[#This Row],[Dest Alc]]</f>
        <v>264</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108</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30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45</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15</v>
      </c>
      <c r="BM106" s="488" cm="1">
        <f t="array" aca="1" ref="BM106" ca="1">IF(TblConstr[[#This Row],[Hour]:[Hour]]&gt;12,OFFSET(TblConstr[[#This Row],[Tem]],-12,0),0)+OFFSET(TblConstr[[#This Row],[Tot Tem]],-1,0)-TblConstr[[#This Row],[Dest Tem]]</f>
        <v>20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20</v>
      </c>
      <c r="BR106" s="184"/>
      <c r="BS106" s="200"/>
      <c r="BT106" s="113">
        <f ca="1">TblConstr[[#This Row],[Land]]</f>
        <v>600</v>
      </c>
      <c r="BU106" s="205">
        <f ca="1">TblImps[[#This Row],[Time]]</f>
        <v>44408.999999999753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402</v>
      </c>
      <c r="DA106" s="113">
        <f t="shared" ca="1" si="24"/>
        <v>20</v>
      </c>
      <c r="DB106" s="49">
        <f t="shared" ca="1" si="25"/>
        <v>30</v>
      </c>
      <c r="DC106" s="113">
        <f t="shared" ca="1" si="26"/>
        <v>45</v>
      </c>
      <c r="DD106" s="113">
        <f t="shared" ca="1" si="27"/>
        <v>35</v>
      </c>
      <c r="DE106" s="49">
        <f t="shared" ca="1" si="28"/>
        <v>0</v>
      </c>
      <c r="DF106" s="113">
        <f t="shared" ca="1" si="29"/>
        <v>20</v>
      </c>
      <c r="DG106" s="113" cm="1">
        <f t="array" aca="1" ref="DG106" ca="1">INDEX(TblConstr[[Total Plain]:[Total Water]],ROW()-ROW(TblConstr[#Headers]),MATCH("Total "&amp;home_land,TblConstr[[#Headers],[Total Plain]:[Total Water]],0))+TblConstr[[#This Row],[Homes]]</f>
        <v>450</v>
      </c>
      <c r="DH106" s="49">
        <f t="shared" ca="1" si="22"/>
        <v>48</v>
      </c>
      <c r="DI106" s="49">
        <f t="shared" ca="1" si="19"/>
        <v>0</v>
      </c>
      <c r="DJ106" s="49">
        <f t="shared" ca="1" si="20"/>
        <v>0</v>
      </c>
    </row>
    <row r="107" spans="1:114" x14ac:dyDescent="0.2">
      <c r="A107" s="228">
        <f>TblRezone[[#This Row],[Hour]]</f>
        <v>104</v>
      </c>
      <c r="B107" s="229">
        <f ca="1">SUM(TblConstr[[#This Row],[Plain]:[Water]])</f>
        <v>0</v>
      </c>
      <c r="C107" s="230">
        <f ca="1">SUM(TblConstr[[#This Row],[Tot Hom]:[Tot Doc]])</f>
        <v>600</v>
      </c>
      <c r="D107" s="230">
        <f t="shared" si="21"/>
        <v>0</v>
      </c>
      <c r="E107" s="231"/>
      <c r="F107" s="74">
        <f ca="1">TblConstr[[#This Row],[Barren]]+TblConstr[[#This Row],[Buildings]]+TblConstr[[#This Row],[Incoming]]</f>
        <v>600</v>
      </c>
      <c r="G107" s="242">
        <f ca="1">OFFSET(TblConstr[[#This Row],[Plain]],-1,0)+TblConstr[[#This Row],[Ch_Plain]]</f>
        <v>0</v>
      </c>
      <c r="H107" s="236">
        <f ca="1">OFFSET(TblConstr[[#This Row],[Forest]],-1,0)+TblConstr[[#This Row],[Ch_Forest]]</f>
        <v>0</v>
      </c>
      <c r="I107" s="478">
        <f ca="1">OFFSET(TblConstr[[#This Row],[Mountain]],-1,0)+TblConstr[[#This Row],[Ch_Mountain]]</f>
        <v>0</v>
      </c>
      <c r="J107" s="482">
        <f ca="1">OFFSET(TblConstr[[#This Row],[Hill]],-1,0)+TblConstr[[#This Row],[Ch_Hill]]</f>
        <v>0</v>
      </c>
      <c r="K107" s="486">
        <f ca="1">OFFSET(TblConstr[[#This Row],[Swamp]],-1,0)+TblConstr[[#This Row],[Ch_Swamp]]</f>
        <v>0</v>
      </c>
      <c r="L107" s="239">
        <f ca="1">OFFSET(TblConstr[[#This Row],[Cavern]],-1,0)+TblConstr[[#This Row],[Ch_Cavern]]</f>
        <v>0</v>
      </c>
      <c r="M107" s="240">
        <f ca="1">OFFSET(TblConstr[[#This Row],[Water]],-1,0)+TblConstr[[#This Row],[Ch_Water]]</f>
        <v>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44409.041666666417</v>
      </c>
      <c r="AI107" s="234">
        <f ca="1">MIN(25%,(TblConstr[[#This Row],[Tot Fac]]+TblConstr[[#This Row],[Dest Fac]])/(TblConstr[[#This Row],[Land]]-TblExplore[[#This Row],[Land Bonus]]*20))</f>
        <v>7.4999999999999997E-2</v>
      </c>
      <c r="AJ107" s="234">
        <f ca="1">MIN(25%,(TblConstr[[#This Row],[Tot Fac]]+TblConstr[[#This Row],[Dest Fac]])/TblConstr[[#This Row],[Land]])</f>
        <v>7.4999999999999997E-2</v>
      </c>
      <c r="AK107" s="113">
        <f ca="1">TblProd[[#This Row],[Platinum]]</f>
        <v>1239243</v>
      </c>
      <c r="AL107" s="113">
        <f ca="1">TblProd[[#This Row],[Lumber]]</f>
        <v>51917</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7" s="113">
        <f ca="1">ROUNDDOWN( MAX(1 - MIN(facs_constr_factor*TblConstr[[#This Row],[Facs -DB]],facs_constr_max) + tech_1_11*TblTech[[#This Row],[11-1]] + tech_6_3_2*TblTech[[#This Row],[6-3]] + tech_5_2_3*TblTech[[#This Row],[5-2]], 1-global_constr_cap) * TblConstr[[#This Row],[RCPA Lumber]],0)</f>
        <v>147</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7" s="113">
        <f ca="1">ROUNDDOWN( MAX(1 - MIN(facs_constr_factor*TblConstr[[#This Row],[Facs DB]],facs_constr_max) + tech_1_11*TblTech[[#This Row],[1-11]] + tech_6_3_2*TblTech[[#This Row],[6-3]] + tech_5_2_3*TblTech[[#This Row],[5-2]], 1-global_constr_cap) * TblConstr[[#This Row],[RCPA Lumber]],0)</f>
        <v>147</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1386</v>
      </c>
      <c r="AW107" s="113">
        <f ca="1">ROUND((MAX(TblConstr[[#This Row],[Buildings]],250,0.75*TblConstr[[#This Row],[Land]])-250) * 0.35+87.5,0)</f>
        <v>210</v>
      </c>
      <c r="AX107" s="200"/>
      <c r="AY107" s="243" cm="1">
        <f t="array" aca="1" ref="AY107" ca="1">IF(TblConstr[[#This Row],[Hour]:[Hour]]&gt;12,OFFSET(TblConstr[[#This Row],[Hom]],-12,0),0)+OFFSET(TblConstr[[#This Row],[Tot Hom]],-1,0)-TblConstr[[#This Row],[Dest Hom]]</f>
        <v>48</v>
      </c>
      <c r="AZ107" s="244" cm="1">
        <f t="array" aca="1" ref="AZ107" ca="1">IF(TblConstr[[#This Row],[Hour]:[Hour]]&gt;12,OFFSET(TblConstr[[#This Row],[Alc]],-12,0),0)+OFFSET(TblConstr[[#This Row],[Tot Alc]],-1,0)-TblConstr[[#This Row],[Dest Alc]]</f>
        <v>264</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108</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30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45</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15</v>
      </c>
      <c r="BM107" s="488" cm="1">
        <f t="array" aca="1" ref="BM107" ca="1">IF(TblConstr[[#This Row],[Hour]:[Hour]]&gt;12,OFFSET(TblConstr[[#This Row],[Tem]],-12,0),0)+OFFSET(TblConstr[[#This Row],[Tot Tem]],-1,0)-TblConstr[[#This Row],[Dest Tem]]</f>
        <v>20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20</v>
      </c>
      <c r="BR107" s="184"/>
      <c r="BS107" s="200"/>
      <c r="BT107" s="113">
        <f ca="1">TblConstr[[#This Row],[Land]]</f>
        <v>600</v>
      </c>
      <c r="BU107" s="205">
        <f ca="1">TblImps[[#This Row],[Time]]</f>
        <v>44409.041666666417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402</v>
      </c>
      <c r="DA107" s="113">
        <f t="shared" ca="1" si="24"/>
        <v>20</v>
      </c>
      <c r="DB107" s="49">
        <f t="shared" ca="1" si="25"/>
        <v>30</v>
      </c>
      <c r="DC107" s="113">
        <f t="shared" ca="1" si="26"/>
        <v>45</v>
      </c>
      <c r="DD107" s="113">
        <f t="shared" ca="1" si="27"/>
        <v>35</v>
      </c>
      <c r="DE107" s="49">
        <f t="shared" ca="1" si="28"/>
        <v>0</v>
      </c>
      <c r="DF107" s="113">
        <f t="shared" ca="1" si="29"/>
        <v>20</v>
      </c>
      <c r="DG107" s="113" cm="1">
        <f t="array" aca="1" ref="DG107" ca="1">INDEX(TblConstr[[Total Plain]:[Total Water]],ROW()-ROW(TblConstr[#Headers]),MATCH("Total "&amp;home_land,TblConstr[[#Headers],[Total Plain]:[Total Water]],0))+TblConstr[[#This Row],[Homes]]</f>
        <v>450</v>
      </c>
      <c r="DH107" s="49">
        <f t="shared" ca="1" si="22"/>
        <v>48</v>
      </c>
      <c r="DI107" s="49">
        <f t="shared" ca="1" si="19"/>
        <v>0</v>
      </c>
      <c r="DJ107" s="49">
        <f t="shared" ca="1" si="20"/>
        <v>0</v>
      </c>
    </row>
    <row r="108" spans="1:114" x14ac:dyDescent="0.2">
      <c r="A108" s="228">
        <f>TblRezone[[#This Row],[Hour]]</f>
        <v>105</v>
      </c>
      <c r="B108" s="229">
        <f ca="1">SUM(TblConstr[[#This Row],[Plain]:[Water]])</f>
        <v>0</v>
      </c>
      <c r="C108" s="230">
        <f ca="1">SUM(TblConstr[[#This Row],[Tot Hom]:[Tot Doc]])</f>
        <v>600</v>
      </c>
      <c r="D108" s="230">
        <f t="shared" si="21"/>
        <v>0</v>
      </c>
      <c r="E108" s="231"/>
      <c r="F108" s="74">
        <f ca="1">TblConstr[[#This Row],[Barren]]+TblConstr[[#This Row],[Buildings]]+TblConstr[[#This Row],[Incoming]]</f>
        <v>600</v>
      </c>
      <c r="G108" s="242">
        <f ca="1">OFFSET(TblConstr[[#This Row],[Plain]],-1,0)+TblConstr[[#This Row],[Ch_Plain]]</f>
        <v>0</v>
      </c>
      <c r="H108" s="236">
        <f ca="1">OFFSET(TblConstr[[#This Row],[Forest]],-1,0)+TblConstr[[#This Row],[Ch_Forest]]</f>
        <v>0</v>
      </c>
      <c r="I108" s="478">
        <f ca="1">OFFSET(TblConstr[[#This Row],[Mountain]],-1,0)+TblConstr[[#This Row],[Ch_Mountain]]</f>
        <v>0</v>
      </c>
      <c r="J108" s="482">
        <f ca="1">OFFSET(TblConstr[[#This Row],[Hill]],-1,0)+TblConstr[[#This Row],[Ch_Hill]]</f>
        <v>0</v>
      </c>
      <c r="K108" s="486">
        <f ca="1">OFFSET(TblConstr[[#This Row],[Swamp]],-1,0)+TblConstr[[#This Row],[Ch_Swamp]]</f>
        <v>0</v>
      </c>
      <c r="L108" s="239">
        <f ca="1">OFFSET(TblConstr[[#This Row],[Cavern]],-1,0)+TblConstr[[#This Row],[Ch_Cavern]]</f>
        <v>0</v>
      </c>
      <c r="M108" s="240">
        <f ca="1">OFFSET(TblConstr[[#This Row],[Water]],-1,0)+TblConstr[[#This Row],[Ch_Water]]</f>
        <v>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44409.083333333081</v>
      </c>
      <c r="AI108" s="234">
        <f ca="1">MIN(25%,(TblConstr[[#This Row],[Tot Fac]]+TblConstr[[#This Row],[Dest Fac]])/(TblConstr[[#This Row],[Land]]-TblExplore[[#This Row],[Land Bonus]]*20))</f>
        <v>7.4999999999999997E-2</v>
      </c>
      <c r="AJ108" s="234">
        <f ca="1">MIN(25%,(TblConstr[[#This Row],[Tot Fac]]+TblConstr[[#This Row],[Dest Fac]])/TblConstr[[#This Row],[Land]])</f>
        <v>7.4999999999999997E-2</v>
      </c>
      <c r="AK108" s="113">
        <f ca="1">TblProd[[#This Row],[Platinum]]</f>
        <v>1265719</v>
      </c>
      <c r="AL108" s="113">
        <f ca="1">TblProd[[#This Row],[Lumber]]</f>
        <v>52398</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8" s="113">
        <f ca="1">ROUNDDOWN( MAX(1 - MIN(facs_constr_factor*TblConstr[[#This Row],[Facs -DB]],facs_constr_max) + tech_1_11*TblTech[[#This Row],[11-1]] + tech_6_3_2*TblTech[[#This Row],[6-3]] + tech_5_2_3*TblTech[[#This Row],[5-2]], 1-global_constr_cap) * TblConstr[[#This Row],[RCPA Lumber]],0)</f>
        <v>147</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8" s="113">
        <f ca="1">ROUNDDOWN( MAX(1 - MIN(facs_constr_factor*TblConstr[[#This Row],[Facs DB]],facs_constr_max) + tech_1_11*TblTech[[#This Row],[1-11]] + tech_6_3_2*TblTech[[#This Row],[6-3]] + tech_5_2_3*TblTech[[#This Row],[5-2]], 1-global_constr_cap) * TblConstr[[#This Row],[RCPA Lumber]],0)</f>
        <v>147</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1386</v>
      </c>
      <c r="AW108" s="113">
        <f ca="1">ROUND((MAX(TblConstr[[#This Row],[Buildings]],250,0.75*TblConstr[[#This Row],[Land]])-250) * 0.35+87.5,0)</f>
        <v>210</v>
      </c>
      <c r="AX108" s="200"/>
      <c r="AY108" s="243" cm="1">
        <f t="array" aca="1" ref="AY108" ca="1">IF(TblConstr[[#This Row],[Hour]:[Hour]]&gt;12,OFFSET(TblConstr[[#This Row],[Hom]],-12,0),0)+OFFSET(TblConstr[[#This Row],[Tot Hom]],-1,0)-TblConstr[[#This Row],[Dest Hom]]</f>
        <v>48</v>
      </c>
      <c r="AZ108" s="244" cm="1">
        <f t="array" aca="1" ref="AZ108" ca="1">IF(TblConstr[[#This Row],[Hour]:[Hour]]&gt;12,OFFSET(TblConstr[[#This Row],[Alc]],-12,0),0)+OFFSET(TblConstr[[#This Row],[Tot Alc]],-1,0)-TblConstr[[#This Row],[Dest Alc]]</f>
        <v>264</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108</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30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45</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15</v>
      </c>
      <c r="BM108" s="488" cm="1">
        <f t="array" aca="1" ref="BM108" ca="1">IF(TblConstr[[#This Row],[Hour]:[Hour]]&gt;12,OFFSET(TblConstr[[#This Row],[Tem]],-12,0),0)+OFFSET(TblConstr[[#This Row],[Tot Tem]],-1,0)-TblConstr[[#This Row],[Dest Tem]]</f>
        <v>20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20</v>
      </c>
      <c r="BR108" s="184"/>
      <c r="BS108" s="200"/>
      <c r="BT108" s="113">
        <f ca="1">TblConstr[[#This Row],[Land]]</f>
        <v>600</v>
      </c>
      <c r="BU108" s="205">
        <f ca="1">TblImps[[#This Row],[Time]]</f>
        <v>44409.083333333081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402</v>
      </c>
      <c r="DA108" s="113">
        <f t="shared" ca="1" si="24"/>
        <v>20</v>
      </c>
      <c r="DB108" s="49">
        <f t="shared" ca="1" si="25"/>
        <v>30</v>
      </c>
      <c r="DC108" s="113">
        <f t="shared" ca="1" si="26"/>
        <v>45</v>
      </c>
      <c r="DD108" s="113">
        <f t="shared" ca="1" si="27"/>
        <v>35</v>
      </c>
      <c r="DE108" s="49">
        <f t="shared" ca="1" si="28"/>
        <v>0</v>
      </c>
      <c r="DF108" s="113">
        <f t="shared" ca="1" si="29"/>
        <v>20</v>
      </c>
      <c r="DG108" s="113" cm="1">
        <f t="array" aca="1" ref="DG108" ca="1">INDEX(TblConstr[[Total Plain]:[Total Water]],ROW()-ROW(TblConstr[#Headers]),MATCH("Total "&amp;home_land,TblConstr[[#Headers],[Total Plain]:[Total Water]],0))+TblConstr[[#This Row],[Homes]]</f>
        <v>450</v>
      </c>
      <c r="DH108" s="49">
        <f t="shared" ca="1" si="22"/>
        <v>48</v>
      </c>
      <c r="DI108" s="49">
        <f t="shared" ca="1" si="19"/>
        <v>0</v>
      </c>
      <c r="DJ108" s="49">
        <f t="shared" ca="1" si="20"/>
        <v>0</v>
      </c>
    </row>
    <row r="109" spans="1:114" x14ac:dyDescent="0.2">
      <c r="A109" s="228">
        <f>TblRezone[[#This Row],[Hour]]</f>
        <v>106</v>
      </c>
      <c r="B109" s="229">
        <f ca="1">SUM(TblConstr[[#This Row],[Plain]:[Water]])</f>
        <v>0</v>
      </c>
      <c r="C109" s="230">
        <f ca="1">SUM(TblConstr[[#This Row],[Tot Hom]:[Tot Doc]])</f>
        <v>600</v>
      </c>
      <c r="D109" s="230">
        <f t="shared" si="21"/>
        <v>0</v>
      </c>
      <c r="E109" s="231"/>
      <c r="F109" s="74">
        <f ca="1">TblConstr[[#This Row],[Barren]]+TblConstr[[#This Row],[Buildings]]+TblConstr[[#This Row],[Incoming]]</f>
        <v>600</v>
      </c>
      <c r="G109" s="242">
        <f ca="1">OFFSET(TblConstr[[#This Row],[Plain]],-1,0)+TblConstr[[#This Row],[Ch_Plain]]</f>
        <v>0</v>
      </c>
      <c r="H109" s="236">
        <f ca="1">OFFSET(TblConstr[[#This Row],[Forest]],-1,0)+TblConstr[[#This Row],[Ch_Forest]]</f>
        <v>0</v>
      </c>
      <c r="I109" s="478">
        <f ca="1">OFFSET(TblConstr[[#This Row],[Mountain]],-1,0)+TblConstr[[#This Row],[Ch_Mountain]]</f>
        <v>0</v>
      </c>
      <c r="J109" s="482">
        <f ca="1">OFFSET(TblConstr[[#This Row],[Hill]],-1,0)+TblConstr[[#This Row],[Ch_Hill]]</f>
        <v>0</v>
      </c>
      <c r="K109" s="486">
        <f ca="1">OFFSET(TblConstr[[#This Row],[Swamp]],-1,0)+TblConstr[[#This Row],[Ch_Swamp]]</f>
        <v>0</v>
      </c>
      <c r="L109" s="239">
        <f ca="1">OFFSET(TblConstr[[#This Row],[Cavern]],-1,0)+TblConstr[[#This Row],[Ch_Cavern]]</f>
        <v>0</v>
      </c>
      <c r="M109" s="240">
        <f ca="1">OFFSET(TblConstr[[#This Row],[Water]],-1,0)+TblConstr[[#This Row],[Ch_Water]]</f>
        <v>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44409.124999999745</v>
      </c>
      <c r="AI109" s="234">
        <f ca="1">MIN(25%,(TblConstr[[#This Row],[Tot Fac]]+TblConstr[[#This Row],[Dest Fac]])/(TblConstr[[#This Row],[Land]]-TblExplore[[#This Row],[Land Bonus]]*20))</f>
        <v>7.4999999999999997E-2</v>
      </c>
      <c r="AJ109" s="234">
        <f ca="1">MIN(25%,(TblConstr[[#This Row],[Tot Fac]]+TblConstr[[#This Row],[Dest Fac]])/TblConstr[[#This Row],[Land]])</f>
        <v>7.4999999999999997E-2</v>
      </c>
      <c r="AK109" s="113">
        <f ca="1">TblProd[[#This Row],[Platinum]]</f>
        <v>1292049</v>
      </c>
      <c r="AL109" s="113">
        <f ca="1">TblProd[[#This Row],[Lumber]]</f>
        <v>52874</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9" s="113">
        <f ca="1">ROUNDDOWN( MAX(1 - MIN(facs_constr_factor*TblConstr[[#This Row],[Facs -DB]],facs_constr_max) + tech_1_11*TblTech[[#This Row],[11-1]] + tech_6_3_2*TblTech[[#This Row],[6-3]] + tech_5_2_3*TblTech[[#This Row],[5-2]], 1-global_constr_cap) * TblConstr[[#This Row],[RCPA Lumber]],0)</f>
        <v>147</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9" s="113">
        <f ca="1">ROUNDDOWN( MAX(1 - MIN(facs_constr_factor*TblConstr[[#This Row],[Facs DB]],facs_constr_max) + tech_1_11*TblTech[[#This Row],[1-11]] + tech_6_3_2*TblTech[[#This Row],[6-3]] + tech_5_2_3*TblTech[[#This Row],[5-2]], 1-global_constr_cap) * TblConstr[[#This Row],[RCPA Lumber]],0)</f>
        <v>147</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1386</v>
      </c>
      <c r="AW109" s="113">
        <f ca="1">ROUND((MAX(TblConstr[[#This Row],[Buildings]],250,0.75*TblConstr[[#This Row],[Land]])-250) * 0.35+87.5,0)</f>
        <v>210</v>
      </c>
      <c r="AX109" s="200"/>
      <c r="AY109" s="243" cm="1">
        <f t="array" aca="1" ref="AY109" ca="1">IF(TblConstr[[#This Row],[Hour]:[Hour]]&gt;12,OFFSET(TblConstr[[#This Row],[Hom]],-12,0),0)+OFFSET(TblConstr[[#This Row],[Tot Hom]],-1,0)-TblConstr[[#This Row],[Dest Hom]]</f>
        <v>48</v>
      </c>
      <c r="AZ109" s="244" cm="1">
        <f t="array" aca="1" ref="AZ109" ca="1">IF(TblConstr[[#This Row],[Hour]:[Hour]]&gt;12,OFFSET(TblConstr[[#This Row],[Alc]],-12,0),0)+OFFSET(TblConstr[[#This Row],[Tot Alc]],-1,0)-TblConstr[[#This Row],[Dest Alc]]</f>
        <v>264</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108</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30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45</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15</v>
      </c>
      <c r="BM109" s="488" cm="1">
        <f t="array" aca="1" ref="BM109" ca="1">IF(TblConstr[[#This Row],[Hour]:[Hour]]&gt;12,OFFSET(TblConstr[[#This Row],[Tem]],-12,0),0)+OFFSET(TblConstr[[#This Row],[Tot Tem]],-1,0)-TblConstr[[#This Row],[Dest Tem]]</f>
        <v>20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20</v>
      </c>
      <c r="BR109" s="184"/>
      <c r="BS109" s="200"/>
      <c r="BT109" s="113">
        <f ca="1">TblConstr[[#This Row],[Land]]</f>
        <v>600</v>
      </c>
      <c r="BU109" s="205">
        <f ca="1">TblImps[[#This Row],[Time]]</f>
        <v>44409.124999999745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402</v>
      </c>
      <c r="DA109" s="113">
        <f t="shared" ca="1" si="24"/>
        <v>20</v>
      </c>
      <c r="DB109" s="49">
        <f t="shared" ca="1" si="25"/>
        <v>30</v>
      </c>
      <c r="DC109" s="113">
        <f t="shared" ca="1" si="26"/>
        <v>45</v>
      </c>
      <c r="DD109" s="113">
        <f t="shared" ca="1" si="27"/>
        <v>35</v>
      </c>
      <c r="DE109" s="49">
        <f t="shared" ca="1" si="28"/>
        <v>0</v>
      </c>
      <c r="DF109" s="113">
        <f t="shared" ca="1" si="29"/>
        <v>20</v>
      </c>
      <c r="DG109" s="113" cm="1">
        <f t="array" aca="1" ref="DG109" ca="1">INDEX(TblConstr[[Total Plain]:[Total Water]],ROW()-ROW(TblConstr[#Headers]),MATCH("Total "&amp;home_land,TblConstr[[#Headers],[Total Plain]:[Total Water]],0))+TblConstr[[#This Row],[Homes]]</f>
        <v>450</v>
      </c>
      <c r="DH109" s="49">
        <f t="shared" ca="1" si="22"/>
        <v>48</v>
      </c>
      <c r="DI109" s="49">
        <f t="shared" ca="1" si="19"/>
        <v>0</v>
      </c>
      <c r="DJ109" s="49">
        <f t="shared" ca="1" si="20"/>
        <v>0</v>
      </c>
    </row>
    <row r="110" spans="1:114" x14ac:dyDescent="0.2">
      <c r="A110" s="228">
        <f>TblRezone[[#This Row],[Hour]]</f>
        <v>107</v>
      </c>
      <c r="B110" s="229">
        <f ca="1">SUM(TblConstr[[#This Row],[Plain]:[Water]])</f>
        <v>0</v>
      </c>
      <c r="C110" s="230">
        <f ca="1">SUM(TblConstr[[#This Row],[Tot Hom]:[Tot Doc]])</f>
        <v>600</v>
      </c>
      <c r="D110" s="230">
        <f t="shared" si="21"/>
        <v>0</v>
      </c>
      <c r="E110" s="231"/>
      <c r="F110" s="74">
        <f ca="1">TblConstr[[#This Row],[Barren]]+TblConstr[[#This Row],[Buildings]]+TblConstr[[#This Row],[Incoming]]</f>
        <v>600</v>
      </c>
      <c r="G110" s="242">
        <f ca="1">OFFSET(TblConstr[[#This Row],[Plain]],-1,0)+TblConstr[[#This Row],[Ch_Plain]]</f>
        <v>0</v>
      </c>
      <c r="H110" s="236">
        <f ca="1">OFFSET(TblConstr[[#This Row],[Forest]],-1,0)+TblConstr[[#This Row],[Ch_Forest]]</f>
        <v>0</v>
      </c>
      <c r="I110" s="478">
        <f ca="1">OFFSET(TblConstr[[#This Row],[Mountain]],-1,0)+TblConstr[[#This Row],[Ch_Mountain]]</f>
        <v>0</v>
      </c>
      <c r="J110" s="482">
        <f ca="1">OFFSET(TblConstr[[#This Row],[Hill]],-1,0)+TblConstr[[#This Row],[Ch_Hill]]</f>
        <v>0</v>
      </c>
      <c r="K110" s="486">
        <f ca="1">OFFSET(TblConstr[[#This Row],[Swamp]],-1,0)+TblConstr[[#This Row],[Ch_Swamp]]</f>
        <v>0</v>
      </c>
      <c r="L110" s="239">
        <f ca="1">OFFSET(TblConstr[[#This Row],[Cavern]],-1,0)+TblConstr[[#This Row],[Ch_Cavern]]</f>
        <v>0</v>
      </c>
      <c r="M110" s="240">
        <f ca="1">OFFSET(TblConstr[[#This Row],[Water]],-1,0)+TblConstr[[#This Row],[Ch_Water]]</f>
        <v>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44409.16666666641</v>
      </c>
      <c r="AI110" s="234">
        <f ca="1">MIN(25%,(TblConstr[[#This Row],[Tot Fac]]+TblConstr[[#This Row],[Dest Fac]])/(TblConstr[[#This Row],[Land]]-TblExplore[[#This Row],[Land Bonus]]*20))</f>
        <v>7.4999999999999997E-2</v>
      </c>
      <c r="AJ110" s="234">
        <f ca="1">MIN(25%,(TblConstr[[#This Row],[Tot Fac]]+TblConstr[[#This Row],[Dest Fac]])/TblConstr[[#This Row],[Land]])</f>
        <v>7.4999999999999997E-2</v>
      </c>
      <c r="AK110" s="113">
        <f ca="1">TblProd[[#This Row],[Platinum]]</f>
        <v>1318233</v>
      </c>
      <c r="AL110" s="113">
        <f ca="1">TblProd[[#This Row],[Lumber]]</f>
        <v>53345</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0" s="113">
        <f ca="1">ROUNDDOWN( MAX(1 - MIN(facs_constr_factor*TblConstr[[#This Row],[Facs -DB]],facs_constr_max) + tech_1_11*TblTech[[#This Row],[11-1]] + tech_6_3_2*TblTech[[#This Row],[6-3]] + tech_5_2_3*TblTech[[#This Row],[5-2]], 1-global_constr_cap) * TblConstr[[#This Row],[RCPA Lumber]],0)</f>
        <v>147</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0" s="113">
        <f ca="1">ROUNDDOWN( MAX(1 - MIN(facs_constr_factor*TblConstr[[#This Row],[Facs DB]],facs_constr_max) + tech_1_11*TblTech[[#This Row],[1-11]] + tech_6_3_2*TblTech[[#This Row],[6-3]] + tech_5_2_3*TblTech[[#This Row],[5-2]], 1-global_constr_cap) * TblConstr[[#This Row],[RCPA Lumber]],0)</f>
        <v>147</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1386</v>
      </c>
      <c r="AW110" s="113">
        <f ca="1">ROUND((MAX(TblConstr[[#This Row],[Buildings]],250,0.75*TblConstr[[#This Row],[Land]])-250) * 0.35+87.5,0)</f>
        <v>210</v>
      </c>
      <c r="AX110" s="200"/>
      <c r="AY110" s="243" cm="1">
        <f t="array" aca="1" ref="AY110" ca="1">IF(TblConstr[[#This Row],[Hour]:[Hour]]&gt;12,OFFSET(TblConstr[[#This Row],[Hom]],-12,0),0)+OFFSET(TblConstr[[#This Row],[Tot Hom]],-1,0)-TblConstr[[#This Row],[Dest Hom]]</f>
        <v>48</v>
      </c>
      <c r="AZ110" s="244" cm="1">
        <f t="array" aca="1" ref="AZ110" ca="1">IF(TblConstr[[#This Row],[Hour]:[Hour]]&gt;12,OFFSET(TblConstr[[#This Row],[Alc]],-12,0),0)+OFFSET(TblConstr[[#This Row],[Tot Alc]],-1,0)-TblConstr[[#This Row],[Dest Alc]]</f>
        <v>264</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108</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30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45</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15</v>
      </c>
      <c r="BM110" s="488" cm="1">
        <f t="array" aca="1" ref="BM110" ca="1">IF(TblConstr[[#This Row],[Hour]:[Hour]]&gt;12,OFFSET(TblConstr[[#This Row],[Tem]],-12,0),0)+OFFSET(TblConstr[[#This Row],[Tot Tem]],-1,0)-TblConstr[[#This Row],[Dest Tem]]</f>
        <v>20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20</v>
      </c>
      <c r="BR110" s="184"/>
      <c r="BS110" s="200"/>
      <c r="BT110" s="113">
        <f ca="1">TblConstr[[#This Row],[Land]]</f>
        <v>600</v>
      </c>
      <c r="BU110" s="205">
        <f ca="1">TblImps[[#This Row],[Time]]</f>
        <v>44409.16666666641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402</v>
      </c>
      <c r="DA110" s="113">
        <f t="shared" ca="1" si="24"/>
        <v>20</v>
      </c>
      <c r="DB110" s="49">
        <f t="shared" ca="1" si="25"/>
        <v>30</v>
      </c>
      <c r="DC110" s="113">
        <f t="shared" ca="1" si="26"/>
        <v>45</v>
      </c>
      <c r="DD110" s="113">
        <f t="shared" ca="1" si="27"/>
        <v>35</v>
      </c>
      <c r="DE110" s="49">
        <f t="shared" ca="1" si="28"/>
        <v>0</v>
      </c>
      <c r="DF110" s="113">
        <f t="shared" ca="1" si="29"/>
        <v>20</v>
      </c>
      <c r="DG110" s="113" cm="1">
        <f t="array" aca="1" ref="DG110" ca="1">INDEX(TblConstr[[Total Plain]:[Total Water]],ROW()-ROW(TblConstr[#Headers]),MATCH("Total "&amp;home_land,TblConstr[[#Headers],[Total Plain]:[Total Water]],0))+TblConstr[[#This Row],[Homes]]</f>
        <v>450</v>
      </c>
      <c r="DH110" s="49">
        <f t="shared" ca="1" si="22"/>
        <v>48</v>
      </c>
      <c r="DI110" s="49">
        <f t="shared" ca="1" si="19"/>
        <v>0</v>
      </c>
      <c r="DJ110" s="49">
        <f t="shared" ca="1" si="20"/>
        <v>0</v>
      </c>
    </row>
    <row r="111" spans="1:114" x14ac:dyDescent="0.2">
      <c r="A111" s="228">
        <f>TblRezone[[#This Row],[Hour]]</f>
        <v>108</v>
      </c>
      <c r="B111" s="229">
        <f ca="1">SUM(TblConstr[[#This Row],[Plain]:[Water]])</f>
        <v>0</v>
      </c>
      <c r="C111" s="230">
        <f ca="1">SUM(TblConstr[[#This Row],[Tot Hom]:[Tot Doc]])</f>
        <v>600</v>
      </c>
      <c r="D111" s="230">
        <f t="shared" si="21"/>
        <v>0</v>
      </c>
      <c r="E111" s="231"/>
      <c r="F111" s="74">
        <f ca="1">TblConstr[[#This Row],[Barren]]+TblConstr[[#This Row],[Buildings]]+TblConstr[[#This Row],[Incoming]]</f>
        <v>600</v>
      </c>
      <c r="G111" s="242">
        <f ca="1">OFFSET(TblConstr[[#This Row],[Plain]],-1,0)+TblConstr[[#This Row],[Ch_Plain]]</f>
        <v>0</v>
      </c>
      <c r="H111" s="236">
        <f ca="1">OFFSET(TblConstr[[#This Row],[Forest]],-1,0)+TblConstr[[#This Row],[Ch_Forest]]</f>
        <v>0</v>
      </c>
      <c r="I111" s="478">
        <f ca="1">OFFSET(TblConstr[[#This Row],[Mountain]],-1,0)+TblConstr[[#This Row],[Ch_Mountain]]</f>
        <v>0</v>
      </c>
      <c r="J111" s="482">
        <f ca="1">OFFSET(TblConstr[[#This Row],[Hill]],-1,0)+TblConstr[[#This Row],[Ch_Hill]]</f>
        <v>0</v>
      </c>
      <c r="K111" s="486">
        <f ca="1">OFFSET(TblConstr[[#This Row],[Swamp]],-1,0)+TblConstr[[#This Row],[Ch_Swamp]]</f>
        <v>0</v>
      </c>
      <c r="L111" s="239">
        <f ca="1">OFFSET(TblConstr[[#This Row],[Cavern]],-1,0)+TblConstr[[#This Row],[Ch_Cavern]]</f>
        <v>0</v>
      </c>
      <c r="M111" s="240">
        <f ca="1">OFFSET(TblConstr[[#This Row],[Water]],-1,0)+TblConstr[[#This Row],[Ch_Water]]</f>
        <v>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44409.208333333074</v>
      </c>
      <c r="AI111" s="234">
        <f ca="1">MIN(25%,(TblConstr[[#This Row],[Tot Fac]]+TblConstr[[#This Row],[Dest Fac]])/(TblConstr[[#This Row],[Land]]-TblExplore[[#This Row],[Land Bonus]]*20))</f>
        <v>7.4999999999999997E-2</v>
      </c>
      <c r="AJ111" s="234">
        <f ca="1">MIN(25%,(TblConstr[[#This Row],[Tot Fac]]+TblConstr[[#This Row],[Dest Fac]])/TblConstr[[#This Row],[Land]])</f>
        <v>7.4999999999999997E-2</v>
      </c>
      <c r="AK111" s="113">
        <f ca="1">TblProd[[#This Row],[Platinum]]</f>
        <v>1344274</v>
      </c>
      <c r="AL111" s="113">
        <f ca="1">TblProd[[#This Row],[Lumber]]</f>
        <v>53812</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1" s="113">
        <f ca="1">ROUNDDOWN( MAX(1 - MIN(facs_constr_factor*TblConstr[[#This Row],[Facs -DB]],facs_constr_max) + tech_1_11*TblTech[[#This Row],[11-1]] + tech_6_3_2*TblTech[[#This Row],[6-3]] + tech_5_2_3*TblTech[[#This Row],[5-2]], 1-global_constr_cap) * TblConstr[[#This Row],[RCPA Lumber]],0)</f>
        <v>147</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1" s="113">
        <f ca="1">ROUNDDOWN( MAX(1 - MIN(facs_constr_factor*TblConstr[[#This Row],[Facs DB]],facs_constr_max) + tech_1_11*TblTech[[#This Row],[1-11]] + tech_6_3_2*TblTech[[#This Row],[6-3]] + tech_5_2_3*TblTech[[#This Row],[5-2]], 1-global_constr_cap) * TblConstr[[#This Row],[RCPA Lumber]],0)</f>
        <v>147</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1386</v>
      </c>
      <c r="AW111" s="113">
        <f ca="1">ROUND((MAX(TblConstr[[#This Row],[Buildings]],250,0.75*TblConstr[[#This Row],[Land]])-250) * 0.35+87.5,0)</f>
        <v>210</v>
      </c>
      <c r="AX111" s="200"/>
      <c r="AY111" s="243" cm="1">
        <f t="array" aca="1" ref="AY111" ca="1">IF(TblConstr[[#This Row],[Hour]:[Hour]]&gt;12,OFFSET(TblConstr[[#This Row],[Hom]],-12,0),0)+OFFSET(TblConstr[[#This Row],[Tot Hom]],-1,0)-TblConstr[[#This Row],[Dest Hom]]</f>
        <v>48</v>
      </c>
      <c r="AZ111" s="244" cm="1">
        <f t="array" aca="1" ref="AZ111" ca="1">IF(TblConstr[[#This Row],[Hour]:[Hour]]&gt;12,OFFSET(TblConstr[[#This Row],[Alc]],-12,0),0)+OFFSET(TblConstr[[#This Row],[Tot Alc]],-1,0)-TblConstr[[#This Row],[Dest Alc]]</f>
        <v>264</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108</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30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45</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15</v>
      </c>
      <c r="BM111" s="488" cm="1">
        <f t="array" aca="1" ref="BM111" ca="1">IF(TblConstr[[#This Row],[Hour]:[Hour]]&gt;12,OFFSET(TblConstr[[#This Row],[Tem]],-12,0),0)+OFFSET(TblConstr[[#This Row],[Tot Tem]],-1,0)-TblConstr[[#This Row],[Dest Tem]]</f>
        <v>20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20</v>
      </c>
      <c r="BR111" s="184"/>
      <c r="BS111" s="200"/>
      <c r="BT111" s="113">
        <f ca="1">TblConstr[[#This Row],[Land]]</f>
        <v>600</v>
      </c>
      <c r="BU111" s="205">
        <f ca="1">TblImps[[#This Row],[Time]]</f>
        <v>44409.208333333074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402</v>
      </c>
      <c r="DA111" s="113">
        <f t="shared" ca="1" si="24"/>
        <v>20</v>
      </c>
      <c r="DB111" s="49">
        <f t="shared" ca="1" si="25"/>
        <v>30</v>
      </c>
      <c r="DC111" s="113">
        <f t="shared" ca="1" si="26"/>
        <v>45</v>
      </c>
      <c r="DD111" s="113">
        <f t="shared" ca="1" si="27"/>
        <v>35</v>
      </c>
      <c r="DE111" s="49">
        <f t="shared" ca="1" si="28"/>
        <v>0</v>
      </c>
      <c r="DF111" s="113">
        <f t="shared" ca="1" si="29"/>
        <v>20</v>
      </c>
      <c r="DG111" s="113" cm="1">
        <f t="array" aca="1" ref="DG111" ca="1">INDEX(TblConstr[[Total Plain]:[Total Water]],ROW()-ROW(TblConstr[#Headers]),MATCH("Total "&amp;home_land,TblConstr[[#Headers],[Total Plain]:[Total Water]],0))+TblConstr[[#This Row],[Homes]]</f>
        <v>450</v>
      </c>
      <c r="DH111" s="49">
        <f t="shared" ca="1" si="22"/>
        <v>48</v>
      </c>
      <c r="DI111" s="49">
        <f t="shared" ca="1" si="19"/>
        <v>0</v>
      </c>
      <c r="DJ111" s="49">
        <f t="shared" ca="1" si="20"/>
        <v>0</v>
      </c>
    </row>
    <row r="112" spans="1:114" x14ac:dyDescent="0.2">
      <c r="A112" s="228">
        <f>TblRezone[[#This Row],[Hour]]</f>
        <v>109</v>
      </c>
      <c r="B112" s="229">
        <f ca="1">SUM(TblConstr[[#This Row],[Plain]:[Water]])</f>
        <v>0</v>
      </c>
      <c r="C112" s="230">
        <f ca="1">SUM(TblConstr[[#This Row],[Tot Hom]:[Tot Doc]])</f>
        <v>600</v>
      </c>
      <c r="D112" s="230">
        <f t="shared" si="21"/>
        <v>0</v>
      </c>
      <c r="E112" s="231"/>
      <c r="F112" s="74">
        <f ca="1">TblConstr[[#This Row],[Barren]]+TblConstr[[#This Row],[Buildings]]+TblConstr[[#This Row],[Incoming]]</f>
        <v>600</v>
      </c>
      <c r="G112" s="242">
        <f ca="1">OFFSET(TblConstr[[#This Row],[Plain]],-1,0)+TblConstr[[#This Row],[Ch_Plain]]</f>
        <v>0</v>
      </c>
      <c r="H112" s="236">
        <f ca="1">OFFSET(TblConstr[[#This Row],[Forest]],-1,0)+TblConstr[[#This Row],[Ch_Forest]]</f>
        <v>0</v>
      </c>
      <c r="I112" s="478">
        <f ca="1">OFFSET(TblConstr[[#This Row],[Mountain]],-1,0)+TblConstr[[#This Row],[Ch_Mountain]]</f>
        <v>0</v>
      </c>
      <c r="J112" s="482">
        <f ca="1">OFFSET(TblConstr[[#This Row],[Hill]],-1,0)+TblConstr[[#This Row],[Ch_Hill]]</f>
        <v>0</v>
      </c>
      <c r="K112" s="486">
        <f ca="1">OFFSET(TblConstr[[#This Row],[Swamp]],-1,0)+TblConstr[[#This Row],[Ch_Swamp]]</f>
        <v>0</v>
      </c>
      <c r="L112" s="239">
        <f ca="1">OFFSET(TblConstr[[#This Row],[Cavern]],-1,0)+TblConstr[[#This Row],[Ch_Cavern]]</f>
        <v>0</v>
      </c>
      <c r="M112" s="240">
        <f ca="1">OFFSET(TblConstr[[#This Row],[Water]],-1,0)+TblConstr[[#This Row],[Ch_Water]]</f>
        <v>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44409.249999999738</v>
      </c>
      <c r="AI112" s="234">
        <f ca="1">MIN(25%,(TblConstr[[#This Row],[Tot Fac]]+TblConstr[[#This Row],[Dest Fac]])/(TblConstr[[#This Row],[Land]]-TblExplore[[#This Row],[Land Bonus]]*20))</f>
        <v>7.4999999999999997E-2</v>
      </c>
      <c r="AJ112" s="234">
        <f ca="1">MIN(25%,(TblConstr[[#This Row],[Tot Fac]]+TblConstr[[#This Row],[Dest Fac]])/TblConstr[[#This Row],[Land]])</f>
        <v>7.4999999999999997E-2</v>
      </c>
      <c r="AK112" s="113">
        <f ca="1">TblProd[[#This Row],[Platinum]]</f>
        <v>1370175</v>
      </c>
      <c r="AL112" s="113">
        <f ca="1">TblProd[[#This Row],[Lumber]]</f>
        <v>54274</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2" s="113">
        <f ca="1">ROUNDDOWN( MAX(1 - MIN(facs_constr_factor*TblConstr[[#This Row],[Facs -DB]],facs_constr_max) + tech_1_11*TblTech[[#This Row],[11-1]] + tech_6_3_2*TblTech[[#This Row],[6-3]] + tech_5_2_3*TblTech[[#This Row],[5-2]], 1-global_constr_cap) * TblConstr[[#This Row],[RCPA Lumber]],0)</f>
        <v>147</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2" s="113">
        <f ca="1">ROUNDDOWN( MAX(1 - MIN(facs_constr_factor*TblConstr[[#This Row],[Facs DB]],facs_constr_max) + tech_1_11*TblTech[[#This Row],[1-11]] + tech_6_3_2*TblTech[[#This Row],[6-3]] + tech_5_2_3*TblTech[[#This Row],[5-2]], 1-global_constr_cap) * TblConstr[[#This Row],[RCPA Lumber]],0)</f>
        <v>147</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1386</v>
      </c>
      <c r="AW112" s="113">
        <f ca="1">ROUND((MAX(TblConstr[[#This Row],[Buildings]],250,0.75*TblConstr[[#This Row],[Land]])-250) * 0.35+87.5,0)</f>
        <v>210</v>
      </c>
      <c r="AX112" s="200"/>
      <c r="AY112" s="243" cm="1">
        <f t="array" aca="1" ref="AY112" ca="1">IF(TblConstr[[#This Row],[Hour]:[Hour]]&gt;12,OFFSET(TblConstr[[#This Row],[Hom]],-12,0),0)+OFFSET(TblConstr[[#This Row],[Tot Hom]],-1,0)-TblConstr[[#This Row],[Dest Hom]]</f>
        <v>48</v>
      </c>
      <c r="AZ112" s="244" cm="1">
        <f t="array" aca="1" ref="AZ112" ca="1">IF(TblConstr[[#This Row],[Hour]:[Hour]]&gt;12,OFFSET(TblConstr[[#This Row],[Alc]],-12,0),0)+OFFSET(TblConstr[[#This Row],[Tot Alc]],-1,0)-TblConstr[[#This Row],[Dest Alc]]</f>
        <v>264</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108</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30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45</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15</v>
      </c>
      <c r="BM112" s="488" cm="1">
        <f t="array" aca="1" ref="BM112" ca="1">IF(TblConstr[[#This Row],[Hour]:[Hour]]&gt;12,OFFSET(TblConstr[[#This Row],[Tem]],-12,0),0)+OFFSET(TblConstr[[#This Row],[Tot Tem]],-1,0)-TblConstr[[#This Row],[Dest Tem]]</f>
        <v>20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20</v>
      </c>
      <c r="BR112" s="184"/>
      <c r="BS112" s="200"/>
      <c r="BT112" s="113">
        <f ca="1">TblConstr[[#This Row],[Land]]</f>
        <v>600</v>
      </c>
      <c r="BU112" s="205">
        <f ca="1">TblImps[[#This Row],[Time]]</f>
        <v>44409.249999999738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402</v>
      </c>
      <c r="DA112" s="113">
        <f t="shared" ref="DA112:DA131" ca="1" si="31">H112+SUM(T101:U112)+SUM(BD112:BE112)</f>
        <v>20</v>
      </c>
      <c r="DB112" s="49">
        <f t="shared" ref="DB112:DB131" ca="1" si="32">I112+SUM(V101:W112)+SUM(BF112:BG112)</f>
        <v>30</v>
      </c>
      <c r="DC112" s="113">
        <f t="shared" ref="DC112:DC131" ca="1" si="33">J112+SUM(X101:Y112)+SUM(BH112:BI112)</f>
        <v>45</v>
      </c>
      <c r="DD112" s="113">
        <f t="shared" ref="DD112:DD131" ca="1" si="34">K112+SUM(AB101:AD112)+SUM(BL112:BN112)</f>
        <v>35</v>
      </c>
      <c r="DE112" s="49">
        <f t="shared" ref="DE112:DE131" ca="1" si="35">L112+SUM(AE101:AE112)+BO112</f>
        <v>0</v>
      </c>
      <c r="DF112" s="113">
        <f t="shared" ref="DF112:DF131" ca="1" si="36">M112+SUM(AG101:AG112)+BQ112</f>
        <v>20</v>
      </c>
      <c r="DG112" s="113" cm="1">
        <f t="array" aca="1" ref="DG112" ca="1">INDEX(TblConstr[[Total Plain]:[Total Water]],ROW()-ROW(TblConstr[#Headers]),MATCH("Total "&amp;home_land,TblConstr[[#Headers],[Total Plain]:[Total Water]],0))+TblConstr[[#This Row],[Homes]]</f>
        <v>450</v>
      </c>
      <c r="DH112" s="49">
        <f t="shared" ca="1" si="22"/>
        <v>48</v>
      </c>
      <c r="DI112" s="49">
        <f t="shared" ca="1" si="19"/>
        <v>0</v>
      </c>
      <c r="DJ112" s="49">
        <f t="shared" ca="1" si="20"/>
        <v>0</v>
      </c>
    </row>
    <row r="113" spans="1:114" x14ac:dyDescent="0.2">
      <c r="A113" s="228">
        <f>TblRezone[[#This Row],[Hour]]</f>
        <v>110</v>
      </c>
      <c r="B113" s="229">
        <f ca="1">SUM(TblConstr[[#This Row],[Plain]:[Water]])</f>
        <v>0</v>
      </c>
      <c r="C113" s="230">
        <f ca="1">SUM(TblConstr[[#This Row],[Tot Hom]:[Tot Doc]])</f>
        <v>600</v>
      </c>
      <c r="D113" s="230">
        <f t="shared" si="21"/>
        <v>0</v>
      </c>
      <c r="E113" s="231"/>
      <c r="F113" s="74">
        <f ca="1">TblConstr[[#This Row],[Barren]]+TblConstr[[#This Row],[Buildings]]+TblConstr[[#This Row],[Incoming]]</f>
        <v>600</v>
      </c>
      <c r="G113" s="242">
        <f ca="1">OFFSET(TblConstr[[#This Row],[Plain]],-1,0)+TblConstr[[#This Row],[Ch_Plain]]</f>
        <v>0</v>
      </c>
      <c r="H113" s="236">
        <f ca="1">OFFSET(TblConstr[[#This Row],[Forest]],-1,0)+TblConstr[[#This Row],[Ch_Forest]]</f>
        <v>0</v>
      </c>
      <c r="I113" s="478">
        <f ca="1">OFFSET(TblConstr[[#This Row],[Mountain]],-1,0)+TblConstr[[#This Row],[Ch_Mountain]]</f>
        <v>0</v>
      </c>
      <c r="J113" s="482">
        <f ca="1">OFFSET(TblConstr[[#This Row],[Hill]],-1,0)+TblConstr[[#This Row],[Ch_Hill]]</f>
        <v>0</v>
      </c>
      <c r="K113" s="486">
        <f ca="1">OFFSET(TblConstr[[#This Row],[Swamp]],-1,0)+TblConstr[[#This Row],[Ch_Swamp]]</f>
        <v>0</v>
      </c>
      <c r="L113" s="239">
        <f ca="1">OFFSET(TblConstr[[#This Row],[Cavern]],-1,0)+TblConstr[[#This Row],[Ch_Cavern]]</f>
        <v>0</v>
      </c>
      <c r="M113" s="240">
        <f ca="1">OFFSET(TblConstr[[#This Row],[Water]],-1,0)+TblConstr[[#This Row],[Ch_Water]]</f>
        <v>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44409.291666666402</v>
      </c>
      <c r="AI113" s="234">
        <f ca="1">MIN(25%,(TblConstr[[#This Row],[Tot Fac]]+TblConstr[[#This Row],[Dest Fac]])/(TblConstr[[#This Row],[Land]]-TblExplore[[#This Row],[Land Bonus]]*20))</f>
        <v>7.4999999999999997E-2</v>
      </c>
      <c r="AJ113" s="234">
        <f ca="1">MIN(25%,(TblConstr[[#This Row],[Tot Fac]]+TblConstr[[#This Row],[Dest Fac]])/TblConstr[[#This Row],[Land]])</f>
        <v>7.4999999999999997E-2</v>
      </c>
      <c r="AK113" s="113">
        <f ca="1">TblProd[[#This Row],[Platinum]]</f>
        <v>1395935</v>
      </c>
      <c r="AL113" s="113">
        <f ca="1">TblProd[[#This Row],[Lumber]]</f>
        <v>54731</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3" s="113">
        <f ca="1">ROUNDDOWN( MAX(1 - MIN(facs_constr_factor*TblConstr[[#This Row],[Facs -DB]],facs_constr_max) + tech_1_11*TblTech[[#This Row],[11-1]] + tech_6_3_2*TblTech[[#This Row],[6-3]] + tech_5_2_3*TblTech[[#This Row],[5-2]], 1-global_constr_cap) * TblConstr[[#This Row],[RCPA Lumber]],0)</f>
        <v>147</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3" s="113">
        <f ca="1">ROUNDDOWN( MAX(1 - MIN(facs_constr_factor*TblConstr[[#This Row],[Facs DB]],facs_constr_max) + tech_1_11*TblTech[[#This Row],[1-11]] + tech_6_3_2*TblTech[[#This Row],[6-3]] + tech_5_2_3*TblTech[[#This Row],[5-2]], 1-global_constr_cap) * TblConstr[[#This Row],[RCPA Lumber]],0)</f>
        <v>147</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1386</v>
      </c>
      <c r="AW113" s="113">
        <f ca="1">ROUND((MAX(TblConstr[[#This Row],[Buildings]],250,0.75*TblConstr[[#This Row],[Land]])-250) * 0.35+87.5,0)</f>
        <v>210</v>
      </c>
      <c r="AX113" s="200"/>
      <c r="AY113" s="243" cm="1">
        <f t="array" aca="1" ref="AY113" ca="1">IF(TblConstr[[#This Row],[Hour]:[Hour]]&gt;12,OFFSET(TblConstr[[#This Row],[Hom]],-12,0),0)+OFFSET(TblConstr[[#This Row],[Tot Hom]],-1,0)-TblConstr[[#This Row],[Dest Hom]]</f>
        <v>48</v>
      </c>
      <c r="AZ113" s="244" cm="1">
        <f t="array" aca="1" ref="AZ113" ca="1">IF(TblConstr[[#This Row],[Hour]:[Hour]]&gt;12,OFFSET(TblConstr[[#This Row],[Alc]],-12,0),0)+OFFSET(TblConstr[[#This Row],[Tot Alc]],-1,0)-TblConstr[[#This Row],[Dest Alc]]</f>
        <v>264</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108</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30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45</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15</v>
      </c>
      <c r="BM113" s="488" cm="1">
        <f t="array" aca="1" ref="BM113" ca="1">IF(TblConstr[[#This Row],[Hour]:[Hour]]&gt;12,OFFSET(TblConstr[[#This Row],[Tem]],-12,0),0)+OFFSET(TblConstr[[#This Row],[Tot Tem]],-1,0)-TblConstr[[#This Row],[Dest Tem]]</f>
        <v>20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20</v>
      </c>
      <c r="BR113" s="184"/>
      <c r="BS113" s="200"/>
      <c r="BT113" s="113">
        <f ca="1">TblConstr[[#This Row],[Land]]</f>
        <v>600</v>
      </c>
      <c r="BU113" s="205">
        <f ca="1">TblImps[[#This Row],[Time]]</f>
        <v>44409.291666666402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402</v>
      </c>
      <c r="DA113" s="113">
        <f t="shared" ca="1" si="31"/>
        <v>20</v>
      </c>
      <c r="DB113" s="49">
        <f t="shared" ca="1" si="32"/>
        <v>30</v>
      </c>
      <c r="DC113" s="113">
        <f t="shared" ca="1" si="33"/>
        <v>45</v>
      </c>
      <c r="DD113" s="113">
        <f t="shared" ca="1" si="34"/>
        <v>35</v>
      </c>
      <c r="DE113" s="49">
        <f t="shared" ca="1" si="35"/>
        <v>0</v>
      </c>
      <c r="DF113" s="113">
        <f t="shared" ca="1" si="36"/>
        <v>20</v>
      </c>
      <c r="DG113" s="113" cm="1">
        <f t="array" aca="1" ref="DG113" ca="1">INDEX(TblConstr[[Total Plain]:[Total Water]],ROW()-ROW(TblConstr[#Headers]),MATCH("Total "&amp;home_land,TblConstr[[#Headers],[Total Plain]:[Total Water]],0))+TblConstr[[#This Row],[Homes]]</f>
        <v>450</v>
      </c>
      <c r="DH113" s="49">
        <f t="shared" ca="1" si="22"/>
        <v>48</v>
      </c>
      <c r="DI113" s="49">
        <f t="shared" ca="1" si="19"/>
        <v>0</v>
      </c>
      <c r="DJ113" s="49">
        <f t="shared" ca="1" si="20"/>
        <v>0</v>
      </c>
    </row>
    <row r="114" spans="1:114" x14ac:dyDescent="0.2">
      <c r="A114" s="228">
        <f>TblRezone[[#This Row],[Hour]]</f>
        <v>111</v>
      </c>
      <c r="B114" s="229">
        <f ca="1">SUM(TblConstr[[#This Row],[Plain]:[Water]])</f>
        <v>0</v>
      </c>
      <c r="C114" s="230">
        <f ca="1">SUM(TblConstr[[#This Row],[Tot Hom]:[Tot Doc]])</f>
        <v>600</v>
      </c>
      <c r="D114" s="230">
        <f t="shared" si="21"/>
        <v>0</v>
      </c>
      <c r="E114" s="231"/>
      <c r="F114" s="74">
        <f ca="1">TblConstr[[#This Row],[Barren]]+TblConstr[[#This Row],[Buildings]]+TblConstr[[#This Row],[Incoming]]</f>
        <v>600</v>
      </c>
      <c r="G114" s="242">
        <f ca="1">OFFSET(TblConstr[[#This Row],[Plain]],-1,0)+TblConstr[[#This Row],[Ch_Plain]]</f>
        <v>0</v>
      </c>
      <c r="H114" s="236">
        <f ca="1">OFFSET(TblConstr[[#This Row],[Forest]],-1,0)+TblConstr[[#This Row],[Ch_Forest]]</f>
        <v>0</v>
      </c>
      <c r="I114" s="478">
        <f ca="1">OFFSET(TblConstr[[#This Row],[Mountain]],-1,0)+TblConstr[[#This Row],[Ch_Mountain]]</f>
        <v>0</v>
      </c>
      <c r="J114" s="482">
        <f ca="1">OFFSET(TblConstr[[#This Row],[Hill]],-1,0)+TblConstr[[#This Row],[Ch_Hill]]</f>
        <v>0</v>
      </c>
      <c r="K114" s="486">
        <f ca="1">OFFSET(TblConstr[[#This Row],[Swamp]],-1,0)+TblConstr[[#This Row],[Ch_Swamp]]</f>
        <v>0</v>
      </c>
      <c r="L114" s="239">
        <f ca="1">OFFSET(TblConstr[[#This Row],[Cavern]],-1,0)+TblConstr[[#This Row],[Ch_Cavern]]</f>
        <v>0</v>
      </c>
      <c r="M114" s="240">
        <f ca="1">OFFSET(TblConstr[[#This Row],[Water]],-1,0)+TblConstr[[#This Row],[Ch_Water]]</f>
        <v>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44409.333333333067</v>
      </c>
      <c r="AI114" s="234">
        <f ca="1">MIN(25%,(TblConstr[[#This Row],[Tot Fac]]+TblConstr[[#This Row],[Dest Fac]])/(TblConstr[[#This Row],[Land]]-TblExplore[[#This Row],[Land Bonus]]*20))</f>
        <v>7.4999999999999997E-2</v>
      </c>
      <c r="AJ114" s="234">
        <f ca="1">MIN(25%,(TblConstr[[#This Row],[Tot Fac]]+TblConstr[[#This Row],[Dest Fac]])/TblConstr[[#This Row],[Land]])</f>
        <v>7.4999999999999997E-2</v>
      </c>
      <c r="AK114" s="113">
        <f ca="1">TblProd[[#This Row],[Platinum]]</f>
        <v>1421558</v>
      </c>
      <c r="AL114" s="113">
        <f ca="1">TblProd[[#This Row],[Lumber]]</f>
        <v>55184</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4" s="113">
        <f ca="1">ROUNDDOWN( MAX(1 - MIN(facs_constr_factor*TblConstr[[#This Row],[Facs -DB]],facs_constr_max) + tech_1_11*TblTech[[#This Row],[11-1]] + tech_6_3_2*TblTech[[#This Row],[6-3]] + tech_5_2_3*TblTech[[#This Row],[5-2]], 1-global_constr_cap) * TblConstr[[#This Row],[RCPA Lumber]],0)</f>
        <v>147</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4" s="113">
        <f ca="1">ROUNDDOWN( MAX(1 - MIN(facs_constr_factor*TblConstr[[#This Row],[Facs DB]],facs_constr_max) + tech_1_11*TblTech[[#This Row],[1-11]] + tech_6_3_2*TblTech[[#This Row],[6-3]] + tech_5_2_3*TblTech[[#This Row],[5-2]], 1-global_constr_cap) * TblConstr[[#This Row],[RCPA Lumber]],0)</f>
        <v>147</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1386</v>
      </c>
      <c r="AW114" s="113">
        <f ca="1">ROUND((MAX(TblConstr[[#This Row],[Buildings]],250,0.75*TblConstr[[#This Row],[Land]])-250) * 0.35+87.5,0)</f>
        <v>210</v>
      </c>
      <c r="AX114" s="200"/>
      <c r="AY114" s="243" cm="1">
        <f t="array" aca="1" ref="AY114" ca="1">IF(TblConstr[[#This Row],[Hour]:[Hour]]&gt;12,OFFSET(TblConstr[[#This Row],[Hom]],-12,0),0)+OFFSET(TblConstr[[#This Row],[Tot Hom]],-1,0)-TblConstr[[#This Row],[Dest Hom]]</f>
        <v>48</v>
      </c>
      <c r="AZ114" s="244" cm="1">
        <f t="array" aca="1" ref="AZ114" ca="1">IF(TblConstr[[#This Row],[Hour]:[Hour]]&gt;12,OFFSET(TblConstr[[#This Row],[Alc]],-12,0),0)+OFFSET(TblConstr[[#This Row],[Tot Alc]],-1,0)-TblConstr[[#This Row],[Dest Alc]]</f>
        <v>264</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108</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30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45</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15</v>
      </c>
      <c r="BM114" s="488" cm="1">
        <f t="array" aca="1" ref="BM114" ca="1">IF(TblConstr[[#This Row],[Hour]:[Hour]]&gt;12,OFFSET(TblConstr[[#This Row],[Tem]],-12,0),0)+OFFSET(TblConstr[[#This Row],[Tot Tem]],-1,0)-TblConstr[[#This Row],[Dest Tem]]</f>
        <v>20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20</v>
      </c>
      <c r="BR114" s="184"/>
      <c r="BS114" s="200"/>
      <c r="BT114" s="113">
        <f ca="1">TblConstr[[#This Row],[Land]]</f>
        <v>600</v>
      </c>
      <c r="BU114" s="205">
        <f ca="1">TblImps[[#This Row],[Time]]</f>
        <v>44409.333333333067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402</v>
      </c>
      <c r="DA114" s="113">
        <f t="shared" ca="1" si="31"/>
        <v>20</v>
      </c>
      <c r="DB114" s="49">
        <f t="shared" ca="1" si="32"/>
        <v>30</v>
      </c>
      <c r="DC114" s="113">
        <f t="shared" ca="1" si="33"/>
        <v>45</v>
      </c>
      <c r="DD114" s="113">
        <f t="shared" ca="1" si="34"/>
        <v>35</v>
      </c>
      <c r="DE114" s="49">
        <f t="shared" ca="1" si="35"/>
        <v>0</v>
      </c>
      <c r="DF114" s="113">
        <f t="shared" ca="1" si="36"/>
        <v>20</v>
      </c>
      <c r="DG114" s="113" cm="1">
        <f t="array" aca="1" ref="DG114" ca="1">INDEX(TblConstr[[Total Plain]:[Total Water]],ROW()-ROW(TblConstr[#Headers]),MATCH("Total "&amp;home_land,TblConstr[[#Headers],[Total Plain]:[Total Water]],0))+TblConstr[[#This Row],[Homes]]</f>
        <v>450</v>
      </c>
      <c r="DH114" s="49">
        <f t="shared" ca="1" si="22"/>
        <v>48</v>
      </c>
      <c r="DI114" s="49">
        <f t="shared" ca="1" si="19"/>
        <v>0</v>
      </c>
      <c r="DJ114" s="49">
        <f t="shared" ca="1" si="20"/>
        <v>0</v>
      </c>
    </row>
    <row r="115" spans="1:114" x14ac:dyDescent="0.2">
      <c r="A115" s="228">
        <f>TblRezone[[#This Row],[Hour]]</f>
        <v>112</v>
      </c>
      <c r="B115" s="229">
        <f ca="1">SUM(TblConstr[[#This Row],[Plain]:[Water]])</f>
        <v>0</v>
      </c>
      <c r="C115" s="230">
        <f ca="1">SUM(TblConstr[[#This Row],[Tot Hom]:[Tot Doc]])</f>
        <v>600</v>
      </c>
      <c r="D115" s="230">
        <f t="shared" si="21"/>
        <v>0</v>
      </c>
      <c r="E115" s="231"/>
      <c r="F115" s="74">
        <f ca="1">TblConstr[[#This Row],[Barren]]+TblConstr[[#This Row],[Buildings]]+TblConstr[[#This Row],[Incoming]]</f>
        <v>600</v>
      </c>
      <c r="G115" s="242">
        <f ca="1">OFFSET(TblConstr[[#This Row],[Plain]],-1,0)+TblConstr[[#This Row],[Ch_Plain]]</f>
        <v>0</v>
      </c>
      <c r="H115" s="236">
        <f ca="1">OFFSET(TblConstr[[#This Row],[Forest]],-1,0)+TblConstr[[#This Row],[Ch_Forest]]</f>
        <v>0</v>
      </c>
      <c r="I115" s="478">
        <f ca="1">OFFSET(TblConstr[[#This Row],[Mountain]],-1,0)+TblConstr[[#This Row],[Ch_Mountain]]</f>
        <v>0</v>
      </c>
      <c r="J115" s="482">
        <f ca="1">OFFSET(TblConstr[[#This Row],[Hill]],-1,0)+TblConstr[[#This Row],[Ch_Hill]]</f>
        <v>0</v>
      </c>
      <c r="K115" s="486">
        <f ca="1">OFFSET(TblConstr[[#This Row],[Swamp]],-1,0)+TblConstr[[#This Row],[Ch_Swamp]]</f>
        <v>0</v>
      </c>
      <c r="L115" s="239">
        <f ca="1">OFFSET(TblConstr[[#This Row],[Cavern]],-1,0)+TblConstr[[#This Row],[Ch_Cavern]]</f>
        <v>0</v>
      </c>
      <c r="M115" s="240">
        <f ca="1">OFFSET(TblConstr[[#This Row],[Water]],-1,0)+TblConstr[[#This Row],[Ch_Water]]</f>
        <v>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44409.374999999731</v>
      </c>
      <c r="AI115" s="234">
        <f ca="1">MIN(25%,(TblConstr[[#This Row],[Tot Fac]]+TblConstr[[#This Row],[Dest Fac]])/(TblConstr[[#This Row],[Land]]-TblExplore[[#This Row],[Land Bonus]]*20))</f>
        <v>7.4999999999999997E-2</v>
      </c>
      <c r="AJ115" s="234">
        <f ca="1">MIN(25%,(TblConstr[[#This Row],[Tot Fac]]+TblConstr[[#This Row],[Dest Fac]])/TblConstr[[#This Row],[Land]])</f>
        <v>7.4999999999999997E-2</v>
      </c>
      <c r="AK115" s="113">
        <f ca="1">TblProd[[#This Row],[Platinum]]</f>
        <v>1447043</v>
      </c>
      <c r="AL115" s="113">
        <f ca="1">TblProd[[#This Row],[Lumber]]</f>
        <v>55632</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5" s="113">
        <f ca="1">ROUNDDOWN( MAX(1 - MIN(facs_constr_factor*TblConstr[[#This Row],[Facs -DB]],facs_constr_max) + tech_1_11*TblTech[[#This Row],[11-1]] + tech_6_3_2*TblTech[[#This Row],[6-3]] + tech_5_2_3*TblTech[[#This Row],[5-2]], 1-global_constr_cap) * TblConstr[[#This Row],[RCPA Lumber]],0)</f>
        <v>147</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5" s="113">
        <f ca="1">ROUNDDOWN( MAX(1 - MIN(facs_constr_factor*TblConstr[[#This Row],[Facs DB]],facs_constr_max) + tech_1_11*TblTech[[#This Row],[1-11]] + tech_6_3_2*TblTech[[#This Row],[6-3]] + tech_5_2_3*TblTech[[#This Row],[5-2]], 1-global_constr_cap) * TblConstr[[#This Row],[RCPA Lumber]],0)</f>
        <v>147</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1386</v>
      </c>
      <c r="AW115" s="113">
        <f ca="1">ROUND((MAX(TblConstr[[#This Row],[Buildings]],250,0.75*TblConstr[[#This Row],[Land]])-250) * 0.35+87.5,0)</f>
        <v>210</v>
      </c>
      <c r="AX115" s="200"/>
      <c r="AY115" s="243" cm="1">
        <f t="array" aca="1" ref="AY115" ca="1">IF(TblConstr[[#This Row],[Hour]:[Hour]]&gt;12,OFFSET(TblConstr[[#This Row],[Hom]],-12,0),0)+OFFSET(TblConstr[[#This Row],[Tot Hom]],-1,0)-TblConstr[[#This Row],[Dest Hom]]</f>
        <v>48</v>
      </c>
      <c r="AZ115" s="244" cm="1">
        <f t="array" aca="1" ref="AZ115" ca="1">IF(TblConstr[[#This Row],[Hour]:[Hour]]&gt;12,OFFSET(TblConstr[[#This Row],[Alc]],-12,0),0)+OFFSET(TblConstr[[#This Row],[Tot Alc]],-1,0)-TblConstr[[#This Row],[Dest Alc]]</f>
        <v>264</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108</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30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45</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15</v>
      </c>
      <c r="BM115" s="488" cm="1">
        <f t="array" aca="1" ref="BM115" ca="1">IF(TblConstr[[#This Row],[Hour]:[Hour]]&gt;12,OFFSET(TblConstr[[#This Row],[Tem]],-12,0),0)+OFFSET(TblConstr[[#This Row],[Tot Tem]],-1,0)-TblConstr[[#This Row],[Dest Tem]]</f>
        <v>20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20</v>
      </c>
      <c r="BR115" s="184"/>
      <c r="BS115" s="200"/>
      <c r="BT115" s="113">
        <f ca="1">TblConstr[[#This Row],[Land]]</f>
        <v>600</v>
      </c>
      <c r="BU115" s="205">
        <f ca="1">TblImps[[#This Row],[Time]]</f>
        <v>44409.374999999731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402</v>
      </c>
      <c r="DA115" s="113">
        <f t="shared" ca="1" si="31"/>
        <v>20</v>
      </c>
      <c r="DB115" s="49">
        <f t="shared" ca="1" si="32"/>
        <v>30</v>
      </c>
      <c r="DC115" s="113">
        <f t="shared" ca="1" si="33"/>
        <v>45</v>
      </c>
      <c r="DD115" s="113">
        <f t="shared" ca="1" si="34"/>
        <v>35</v>
      </c>
      <c r="DE115" s="49">
        <f t="shared" ca="1" si="35"/>
        <v>0</v>
      </c>
      <c r="DF115" s="113">
        <f t="shared" ca="1" si="36"/>
        <v>20</v>
      </c>
      <c r="DG115" s="113" cm="1">
        <f t="array" aca="1" ref="DG115" ca="1">INDEX(TblConstr[[Total Plain]:[Total Water]],ROW()-ROW(TblConstr[#Headers]),MATCH("Total "&amp;home_land,TblConstr[[#Headers],[Total Plain]:[Total Water]],0))+TblConstr[[#This Row],[Homes]]</f>
        <v>450</v>
      </c>
      <c r="DH115" s="49">
        <f t="shared" ca="1" si="22"/>
        <v>48</v>
      </c>
      <c r="DI115" s="49">
        <f t="shared" ca="1" si="19"/>
        <v>0</v>
      </c>
      <c r="DJ115" s="49">
        <f t="shared" ca="1" si="20"/>
        <v>0</v>
      </c>
    </row>
    <row r="116" spans="1:114" x14ac:dyDescent="0.2">
      <c r="A116" s="228">
        <f>TblRezone[[#This Row],[Hour]]</f>
        <v>113</v>
      </c>
      <c r="B116" s="229">
        <f ca="1">SUM(TblConstr[[#This Row],[Plain]:[Water]])</f>
        <v>0</v>
      </c>
      <c r="C116" s="230">
        <f ca="1">SUM(TblConstr[[#This Row],[Tot Hom]:[Tot Doc]])</f>
        <v>600</v>
      </c>
      <c r="D116" s="230">
        <f t="shared" si="21"/>
        <v>0</v>
      </c>
      <c r="E116" s="231"/>
      <c r="F116" s="74">
        <f ca="1">TblConstr[[#This Row],[Barren]]+TblConstr[[#This Row],[Buildings]]+TblConstr[[#This Row],[Incoming]]</f>
        <v>600</v>
      </c>
      <c r="G116" s="242">
        <f ca="1">OFFSET(TblConstr[[#This Row],[Plain]],-1,0)+TblConstr[[#This Row],[Ch_Plain]]</f>
        <v>0</v>
      </c>
      <c r="H116" s="236">
        <f ca="1">OFFSET(TblConstr[[#This Row],[Forest]],-1,0)+TblConstr[[#This Row],[Ch_Forest]]</f>
        <v>0</v>
      </c>
      <c r="I116" s="478">
        <f ca="1">OFFSET(TblConstr[[#This Row],[Mountain]],-1,0)+TblConstr[[#This Row],[Ch_Mountain]]</f>
        <v>0</v>
      </c>
      <c r="J116" s="482">
        <f ca="1">OFFSET(TblConstr[[#This Row],[Hill]],-1,0)+TblConstr[[#This Row],[Ch_Hill]]</f>
        <v>0</v>
      </c>
      <c r="K116" s="486">
        <f ca="1">OFFSET(TblConstr[[#This Row],[Swamp]],-1,0)+TblConstr[[#This Row],[Ch_Swamp]]</f>
        <v>0</v>
      </c>
      <c r="L116" s="239">
        <f ca="1">OFFSET(TblConstr[[#This Row],[Cavern]],-1,0)+TblConstr[[#This Row],[Ch_Cavern]]</f>
        <v>0</v>
      </c>
      <c r="M116" s="240">
        <f ca="1">OFFSET(TblConstr[[#This Row],[Water]],-1,0)+TblConstr[[#This Row],[Ch_Water]]</f>
        <v>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44409.416666666395</v>
      </c>
      <c r="AI116" s="234">
        <f ca="1">MIN(25%,(TblConstr[[#This Row],[Tot Fac]]+TblConstr[[#This Row],[Dest Fac]])/(TblConstr[[#This Row],[Land]]-TblExplore[[#This Row],[Land Bonus]]*20))</f>
        <v>7.4999999999999997E-2</v>
      </c>
      <c r="AJ116" s="234">
        <f ca="1">MIN(25%,(TblConstr[[#This Row],[Tot Fac]]+TblConstr[[#This Row],[Dest Fac]])/TblConstr[[#This Row],[Land]])</f>
        <v>7.4999999999999997E-2</v>
      </c>
      <c r="AK116" s="113">
        <f ca="1">TblProd[[#This Row],[Platinum]]</f>
        <v>1472393</v>
      </c>
      <c r="AL116" s="113">
        <f ca="1">TblProd[[#This Row],[Lumber]]</f>
        <v>56076</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6" s="113">
        <f ca="1">ROUNDDOWN( MAX(1 - MIN(facs_constr_factor*TblConstr[[#This Row],[Facs -DB]],facs_constr_max) + tech_1_11*TblTech[[#This Row],[11-1]] + tech_6_3_2*TblTech[[#This Row],[6-3]] + tech_5_2_3*TblTech[[#This Row],[5-2]], 1-global_constr_cap) * TblConstr[[#This Row],[RCPA Lumber]],0)</f>
        <v>147</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6" s="113">
        <f ca="1">ROUNDDOWN( MAX(1 - MIN(facs_constr_factor*TblConstr[[#This Row],[Facs DB]],facs_constr_max) + tech_1_11*TblTech[[#This Row],[1-11]] + tech_6_3_2*TblTech[[#This Row],[6-3]] + tech_5_2_3*TblTech[[#This Row],[5-2]], 1-global_constr_cap) * TblConstr[[#This Row],[RCPA Lumber]],0)</f>
        <v>147</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1386</v>
      </c>
      <c r="AW116" s="113">
        <f ca="1">ROUND((MAX(TblConstr[[#This Row],[Buildings]],250,0.75*TblConstr[[#This Row],[Land]])-250) * 0.35+87.5,0)</f>
        <v>210</v>
      </c>
      <c r="AX116" s="200"/>
      <c r="AY116" s="243" cm="1">
        <f t="array" aca="1" ref="AY116" ca="1">IF(TblConstr[[#This Row],[Hour]:[Hour]]&gt;12,OFFSET(TblConstr[[#This Row],[Hom]],-12,0),0)+OFFSET(TblConstr[[#This Row],[Tot Hom]],-1,0)-TblConstr[[#This Row],[Dest Hom]]</f>
        <v>48</v>
      </c>
      <c r="AZ116" s="244" cm="1">
        <f t="array" aca="1" ref="AZ116" ca="1">IF(TblConstr[[#This Row],[Hour]:[Hour]]&gt;12,OFFSET(TblConstr[[#This Row],[Alc]],-12,0),0)+OFFSET(TblConstr[[#This Row],[Tot Alc]],-1,0)-TblConstr[[#This Row],[Dest Alc]]</f>
        <v>264</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108</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30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45</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15</v>
      </c>
      <c r="BM116" s="488" cm="1">
        <f t="array" aca="1" ref="BM116" ca="1">IF(TblConstr[[#This Row],[Hour]:[Hour]]&gt;12,OFFSET(TblConstr[[#This Row],[Tem]],-12,0),0)+OFFSET(TblConstr[[#This Row],[Tot Tem]],-1,0)-TblConstr[[#This Row],[Dest Tem]]</f>
        <v>20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20</v>
      </c>
      <c r="BR116" s="184"/>
      <c r="BS116" s="200"/>
      <c r="BT116" s="113">
        <f ca="1">TblConstr[[#This Row],[Land]]</f>
        <v>600</v>
      </c>
      <c r="BU116" s="205">
        <f ca="1">TblImps[[#This Row],[Time]]</f>
        <v>44409.416666666395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402</v>
      </c>
      <c r="DA116" s="113">
        <f t="shared" ca="1" si="31"/>
        <v>20</v>
      </c>
      <c r="DB116" s="49">
        <f t="shared" ca="1" si="32"/>
        <v>30</v>
      </c>
      <c r="DC116" s="113">
        <f t="shared" ca="1" si="33"/>
        <v>45</v>
      </c>
      <c r="DD116" s="113">
        <f t="shared" ca="1" si="34"/>
        <v>35</v>
      </c>
      <c r="DE116" s="49">
        <f t="shared" ca="1" si="35"/>
        <v>0</v>
      </c>
      <c r="DF116" s="113">
        <f t="shared" ca="1" si="36"/>
        <v>20</v>
      </c>
      <c r="DG116" s="113" cm="1">
        <f t="array" aca="1" ref="DG116" ca="1">INDEX(TblConstr[[Total Plain]:[Total Water]],ROW()-ROW(TblConstr[#Headers]),MATCH("Total "&amp;home_land,TblConstr[[#Headers],[Total Plain]:[Total Water]],0))+TblConstr[[#This Row],[Homes]]</f>
        <v>450</v>
      </c>
      <c r="DH116" s="49">
        <f t="shared" ca="1" si="22"/>
        <v>48</v>
      </c>
      <c r="DI116" s="49">
        <f t="shared" ca="1" si="19"/>
        <v>0</v>
      </c>
      <c r="DJ116" s="49">
        <f t="shared" ca="1" si="20"/>
        <v>0</v>
      </c>
    </row>
    <row r="117" spans="1:114" x14ac:dyDescent="0.2">
      <c r="A117" s="228">
        <f>TblRezone[[#This Row],[Hour]]</f>
        <v>114</v>
      </c>
      <c r="B117" s="229">
        <f ca="1">SUM(TblConstr[[#This Row],[Plain]:[Water]])</f>
        <v>0</v>
      </c>
      <c r="C117" s="230">
        <f ca="1">SUM(TblConstr[[#This Row],[Tot Hom]:[Tot Doc]])</f>
        <v>600</v>
      </c>
      <c r="D117" s="230">
        <f t="shared" si="21"/>
        <v>0</v>
      </c>
      <c r="E117" s="231"/>
      <c r="F117" s="74">
        <f ca="1">TblConstr[[#This Row],[Barren]]+TblConstr[[#This Row],[Buildings]]+TblConstr[[#This Row],[Incoming]]</f>
        <v>600</v>
      </c>
      <c r="G117" s="242">
        <f ca="1">OFFSET(TblConstr[[#This Row],[Plain]],-1,0)+TblConstr[[#This Row],[Ch_Plain]]</f>
        <v>0</v>
      </c>
      <c r="H117" s="236">
        <f ca="1">OFFSET(TblConstr[[#This Row],[Forest]],-1,0)+TblConstr[[#This Row],[Ch_Forest]]</f>
        <v>0</v>
      </c>
      <c r="I117" s="478">
        <f ca="1">OFFSET(TblConstr[[#This Row],[Mountain]],-1,0)+TblConstr[[#This Row],[Ch_Mountain]]</f>
        <v>0</v>
      </c>
      <c r="J117" s="482">
        <f ca="1">OFFSET(TblConstr[[#This Row],[Hill]],-1,0)+TblConstr[[#This Row],[Ch_Hill]]</f>
        <v>0</v>
      </c>
      <c r="K117" s="486">
        <f ca="1">OFFSET(TblConstr[[#This Row],[Swamp]],-1,0)+TblConstr[[#This Row],[Ch_Swamp]]</f>
        <v>0</v>
      </c>
      <c r="L117" s="239">
        <f ca="1">OFFSET(TblConstr[[#This Row],[Cavern]],-1,0)+TblConstr[[#This Row],[Ch_Cavern]]</f>
        <v>0</v>
      </c>
      <c r="M117" s="240">
        <f ca="1">OFFSET(TblConstr[[#This Row],[Water]],-1,0)+TblConstr[[#This Row],[Ch_Water]]</f>
        <v>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44409.458333333059</v>
      </c>
      <c r="AI117" s="234">
        <f ca="1">MIN(25%,(TblConstr[[#This Row],[Tot Fac]]+TblConstr[[#This Row],[Dest Fac]])/(TblConstr[[#This Row],[Land]]-TblExplore[[#This Row],[Land Bonus]]*20))</f>
        <v>7.4999999999999997E-2</v>
      </c>
      <c r="AJ117" s="234">
        <f ca="1">MIN(25%,(TblConstr[[#This Row],[Tot Fac]]+TblConstr[[#This Row],[Dest Fac]])/TblConstr[[#This Row],[Land]])</f>
        <v>7.4999999999999997E-2</v>
      </c>
      <c r="AK117" s="113">
        <f ca="1">TblProd[[#This Row],[Platinum]]</f>
        <v>1497608</v>
      </c>
      <c r="AL117" s="113">
        <f ca="1">TblProd[[#This Row],[Lumber]]</f>
        <v>56515</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7" s="113">
        <f ca="1">ROUNDDOWN( MAX(1 - MIN(facs_constr_factor*TblConstr[[#This Row],[Facs -DB]],facs_constr_max) + tech_1_11*TblTech[[#This Row],[11-1]] + tech_6_3_2*TblTech[[#This Row],[6-3]] + tech_5_2_3*TblTech[[#This Row],[5-2]], 1-global_constr_cap) * TblConstr[[#This Row],[RCPA Lumber]],0)</f>
        <v>147</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7" s="113">
        <f ca="1">ROUNDDOWN( MAX(1 - MIN(facs_constr_factor*TblConstr[[#This Row],[Facs DB]],facs_constr_max) + tech_1_11*TblTech[[#This Row],[1-11]] + tech_6_3_2*TblTech[[#This Row],[6-3]] + tech_5_2_3*TblTech[[#This Row],[5-2]], 1-global_constr_cap) * TblConstr[[#This Row],[RCPA Lumber]],0)</f>
        <v>147</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1386</v>
      </c>
      <c r="AW117" s="113">
        <f ca="1">ROUND((MAX(TblConstr[[#This Row],[Buildings]],250,0.75*TblConstr[[#This Row],[Land]])-250) * 0.35+87.5,0)</f>
        <v>210</v>
      </c>
      <c r="AX117" s="200"/>
      <c r="AY117" s="243" cm="1">
        <f t="array" aca="1" ref="AY117" ca="1">IF(TblConstr[[#This Row],[Hour]:[Hour]]&gt;12,OFFSET(TblConstr[[#This Row],[Hom]],-12,0),0)+OFFSET(TblConstr[[#This Row],[Tot Hom]],-1,0)-TblConstr[[#This Row],[Dest Hom]]</f>
        <v>48</v>
      </c>
      <c r="AZ117" s="244" cm="1">
        <f t="array" aca="1" ref="AZ117" ca="1">IF(TblConstr[[#This Row],[Hour]:[Hour]]&gt;12,OFFSET(TblConstr[[#This Row],[Alc]],-12,0),0)+OFFSET(TblConstr[[#This Row],[Tot Alc]],-1,0)-TblConstr[[#This Row],[Dest Alc]]</f>
        <v>264</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108</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30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45</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15</v>
      </c>
      <c r="BM117" s="488" cm="1">
        <f t="array" aca="1" ref="BM117" ca="1">IF(TblConstr[[#This Row],[Hour]:[Hour]]&gt;12,OFFSET(TblConstr[[#This Row],[Tem]],-12,0),0)+OFFSET(TblConstr[[#This Row],[Tot Tem]],-1,0)-TblConstr[[#This Row],[Dest Tem]]</f>
        <v>20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20</v>
      </c>
      <c r="BR117" s="184"/>
      <c r="BS117" s="200"/>
      <c r="BT117" s="113">
        <f ca="1">TblConstr[[#This Row],[Land]]</f>
        <v>600</v>
      </c>
      <c r="BU117" s="205">
        <f ca="1">TblImps[[#This Row],[Time]]</f>
        <v>44409.458333333059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402</v>
      </c>
      <c r="DA117" s="113">
        <f t="shared" ca="1" si="31"/>
        <v>20</v>
      </c>
      <c r="DB117" s="49">
        <f t="shared" ca="1" si="32"/>
        <v>30</v>
      </c>
      <c r="DC117" s="113">
        <f t="shared" ca="1" si="33"/>
        <v>45</v>
      </c>
      <c r="DD117" s="113">
        <f t="shared" ca="1" si="34"/>
        <v>35</v>
      </c>
      <c r="DE117" s="49">
        <f t="shared" ca="1" si="35"/>
        <v>0</v>
      </c>
      <c r="DF117" s="113">
        <f t="shared" ca="1" si="36"/>
        <v>20</v>
      </c>
      <c r="DG117" s="113" cm="1">
        <f t="array" aca="1" ref="DG117" ca="1">INDEX(TblConstr[[Total Plain]:[Total Water]],ROW()-ROW(TblConstr[#Headers]),MATCH("Total "&amp;home_land,TblConstr[[#Headers],[Total Plain]:[Total Water]],0))+TblConstr[[#This Row],[Homes]]</f>
        <v>450</v>
      </c>
      <c r="DH117" s="49">
        <f t="shared" ca="1" si="22"/>
        <v>48</v>
      </c>
      <c r="DI117" s="49">
        <f t="shared" ca="1" si="19"/>
        <v>0</v>
      </c>
      <c r="DJ117" s="49">
        <f t="shared" ca="1" si="20"/>
        <v>0</v>
      </c>
    </row>
    <row r="118" spans="1:114" x14ac:dyDescent="0.2">
      <c r="A118" s="228">
        <f>TblRezone[[#This Row],[Hour]]</f>
        <v>115</v>
      </c>
      <c r="B118" s="229">
        <f ca="1">SUM(TblConstr[[#This Row],[Plain]:[Water]])</f>
        <v>0</v>
      </c>
      <c r="C118" s="230">
        <f ca="1">SUM(TblConstr[[#This Row],[Tot Hom]:[Tot Doc]])</f>
        <v>600</v>
      </c>
      <c r="D118" s="230">
        <f t="shared" si="21"/>
        <v>0</v>
      </c>
      <c r="E118" s="231"/>
      <c r="F118" s="74">
        <f ca="1">TblConstr[[#This Row],[Barren]]+TblConstr[[#This Row],[Buildings]]+TblConstr[[#This Row],[Incoming]]</f>
        <v>600</v>
      </c>
      <c r="G118" s="242">
        <f ca="1">OFFSET(TblConstr[[#This Row],[Plain]],-1,0)+TblConstr[[#This Row],[Ch_Plain]]</f>
        <v>0</v>
      </c>
      <c r="H118" s="236">
        <f ca="1">OFFSET(TblConstr[[#This Row],[Forest]],-1,0)+TblConstr[[#This Row],[Ch_Forest]]</f>
        <v>0</v>
      </c>
      <c r="I118" s="478">
        <f ca="1">OFFSET(TblConstr[[#This Row],[Mountain]],-1,0)+TblConstr[[#This Row],[Ch_Mountain]]</f>
        <v>0</v>
      </c>
      <c r="J118" s="482">
        <f ca="1">OFFSET(TblConstr[[#This Row],[Hill]],-1,0)+TblConstr[[#This Row],[Ch_Hill]]</f>
        <v>0</v>
      </c>
      <c r="K118" s="486">
        <f ca="1">OFFSET(TblConstr[[#This Row],[Swamp]],-1,0)+TblConstr[[#This Row],[Ch_Swamp]]</f>
        <v>0</v>
      </c>
      <c r="L118" s="239">
        <f ca="1">OFFSET(TblConstr[[#This Row],[Cavern]],-1,0)+TblConstr[[#This Row],[Ch_Cavern]]</f>
        <v>0</v>
      </c>
      <c r="M118" s="240">
        <f ca="1">OFFSET(TblConstr[[#This Row],[Water]],-1,0)+TblConstr[[#This Row],[Ch_Water]]</f>
        <v>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44409.499999999724</v>
      </c>
      <c r="AI118" s="234">
        <f ca="1">MIN(25%,(TblConstr[[#This Row],[Tot Fac]]+TblConstr[[#This Row],[Dest Fac]])/(TblConstr[[#This Row],[Land]]-TblExplore[[#This Row],[Land Bonus]]*20))</f>
        <v>7.4999999999999997E-2</v>
      </c>
      <c r="AJ118" s="234">
        <f ca="1">MIN(25%,(TblConstr[[#This Row],[Tot Fac]]+TblConstr[[#This Row],[Dest Fac]])/TblConstr[[#This Row],[Land]])</f>
        <v>7.4999999999999997E-2</v>
      </c>
      <c r="AK118" s="113">
        <f ca="1">TblProd[[#This Row],[Platinum]]</f>
        <v>1522691</v>
      </c>
      <c r="AL118" s="113">
        <f ca="1">TblProd[[#This Row],[Lumber]]</f>
        <v>56950</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8" s="113">
        <f ca="1">ROUNDDOWN( MAX(1 - MIN(facs_constr_factor*TblConstr[[#This Row],[Facs -DB]],facs_constr_max) + tech_1_11*TblTech[[#This Row],[11-1]] + tech_6_3_2*TblTech[[#This Row],[6-3]] + tech_5_2_3*TblTech[[#This Row],[5-2]], 1-global_constr_cap) * TblConstr[[#This Row],[RCPA Lumber]],0)</f>
        <v>147</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8" s="113">
        <f ca="1">ROUNDDOWN( MAX(1 - MIN(facs_constr_factor*TblConstr[[#This Row],[Facs DB]],facs_constr_max) + tech_1_11*TblTech[[#This Row],[1-11]] + tech_6_3_2*TblTech[[#This Row],[6-3]] + tech_5_2_3*TblTech[[#This Row],[5-2]], 1-global_constr_cap) * TblConstr[[#This Row],[RCPA Lumber]],0)</f>
        <v>147</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1386</v>
      </c>
      <c r="AW118" s="113">
        <f ca="1">ROUND((MAX(TblConstr[[#This Row],[Buildings]],250,0.75*TblConstr[[#This Row],[Land]])-250) * 0.35+87.5,0)</f>
        <v>210</v>
      </c>
      <c r="AX118" s="200"/>
      <c r="AY118" s="243" cm="1">
        <f t="array" aca="1" ref="AY118" ca="1">IF(TblConstr[[#This Row],[Hour]:[Hour]]&gt;12,OFFSET(TblConstr[[#This Row],[Hom]],-12,0),0)+OFFSET(TblConstr[[#This Row],[Tot Hom]],-1,0)-TblConstr[[#This Row],[Dest Hom]]</f>
        <v>48</v>
      </c>
      <c r="AZ118" s="244" cm="1">
        <f t="array" aca="1" ref="AZ118" ca="1">IF(TblConstr[[#This Row],[Hour]:[Hour]]&gt;12,OFFSET(TblConstr[[#This Row],[Alc]],-12,0),0)+OFFSET(TblConstr[[#This Row],[Tot Alc]],-1,0)-TblConstr[[#This Row],[Dest Alc]]</f>
        <v>264</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108</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30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45</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15</v>
      </c>
      <c r="BM118" s="488" cm="1">
        <f t="array" aca="1" ref="BM118" ca="1">IF(TblConstr[[#This Row],[Hour]:[Hour]]&gt;12,OFFSET(TblConstr[[#This Row],[Tem]],-12,0),0)+OFFSET(TblConstr[[#This Row],[Tot Tem]],-1,0)-TblConstr[[#This Row],[Dest Tem]]</f>
        <v>20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20</v>
      </c>
      <c r="BR118" s="184"/>
      <c r="BS118" s="200"/>
      <c r="BT118" s="113">
        <f ca="1">TblConstr[[#This Row],[Land]]</f>
        <v>600</v>
      </c>
      <c r="BU118" s="205">
        <f ca="1">TblImps[[#This Row],[Time]]</f>
        <v>44409.499999999724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402</v>
      </c>
      <c r="DA118" s="113">
        <f t="shared" ca="1" si="31"/>
        <v>20</v>
      </c>
      <c r="DB118" s="49">
        <f t="shared" ca="1" si="32"/>
        <v>30</v>
      </c>
      <c r="DC118" s="113">
        <f t="shared" ca="1" si="33"/>
        <v>45</v>
      </c>
      <c r="DD118" s="113">
        <f t="shared" ca="1" si="34"/>
        <v>35</v>
      </c>
      <c r="DE118" s="49">
        <f t="shared" ca="1" si="35"/>
        <v>0</v>
      </c>
      <c r="DF118" s="113">
        <f t="shared" ca="1" si="36"/>
        <v>20</v>
      </c>
      <c r="DG118" s="113" cm="1">
        <f t="array" aca="1" ref="DG118" ca="1">INDEX(TblConstr[[Total Plain]:[Total Water]],ROW()-ROW(TblConstr[#Headers]),MATCH("Total "&amp;home_land,TblConstr[[#Headers],[Total Plain]:[Total Water]],0))+TblConstr[[#This Row],[Homes]]</f>
        <v>450</v>
      </c>
      <c r="DH118" s="49">
        <f t="shared" ca="1" si="22"/>
        <v>48</v>
      </c>
      <c r="DI118" s="49">
        <f t="shared" ca="1" si="19"/>
        <v>0</v>
      </c>
      <c r="DJ118" s="49">
        <f t="shared" ca="1" si="20"/>
        <v>0</v>
      </c>
    </row>
    <row r="119" spans="1:114" x14ac:dyDescent="0.2">
      <c r="A119" s="228">
        <f>TblRezone[[#This Row],[Hour]]</f>
        <v>116</v>
      </c>
      <c r="B119" s="229">
        <f ca="1">SUM(TblConstr[[#This Row],[Plain]:[Water]])</f>
        <v>0</v>
      </c>
      <c r="C119" s="230">
        <f ca="1">SUM(TblConstr[[#This Row],[Tot Hom]:[Tot Doc]])</f>
        <v>600</v>
      </c>
      <c r="D119" s="230">
        <f t="shared" si="21"/>
        <v>0</v>
      </c>
      <c r="E119" s="231"/>
      <c r="F119" s="74">
        <f ca="1">TblConstr[[#This Row],[Barren]]+TblConstr[[#This Row],[Buildings]]+TblConstr[[#This Row],[Incoming]]</f>
        <v>600</v>
      </c>
      <c r="G119" s="242">
        <f ca="1">OFFSET(TblConstr[[#This Row],[Plain]],-1,0)+TblConstr[[#This Row],[Ch_Plain]]</f>
        <v>0</v>
      </c>
      <c r="H119" s="236">
        <f ca="1">OFFSET(TblConstr[[#This Row],[Forest]],-1,0)+TblConstr[[#This Row],[Ch_Forest]]</f>
        <v>0</v>
      </c>
      <c r="I119" s="478">
        <f ca="1">OFFSET(TblConstr[[#This Row],[Mountain]],-1,0)+TblConstr[[#This Row],[Ch_Mountain]]</f>
        <v>0</v>
      </c>
      <c r="J119" s="482">
        <f ca="1">OFFSET(TblConstr[[#This Row],[Hill]],-1,0)+TblConstr[[#This Row],[Ch_Hill]]</f>
        <v>0</v>
      </c>
      <c r="K119" s="486">
        <f ca="1">OFFSET(TblConstr[[#This Row],[Swamp]],-1,0)+TblConstr[[#This Row],[Ch_Swamp]]</f>
        <v>0</v>
      </c>
      <c r="L119" s="239">
        <f ca="1">OFFSET(TblConstr[[#This Row],[Cavern]],-1,0)+TblConstr[[#This Row],[Ch_Cavern]]</f>
        <v>0</v>
      </c>
      <c r="M119" s="240">
        <f ca="1">OFFSET(TblConstr[[#This Row],[Water]],-1,0)+TblConstr[[#This Row],[Ch_Water]]</f>
        <v>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44409.541666666388</v>
      </c>
      <c r="AI119" s="234">
        <f ca="1">MIN(25%,(TblConstr[[#This Row],[Tot Fac]]+TblConstr[[#This Row],[Dest Fac]])/(TblConstr[[#This Row],[Land]]-TblExplore[[#This Row],[Land Bonus]]*20))</f>
        <v>7.4999999999999997E-2</v>
      </c>
      <c r="AJ119" s="234">
        <f ca="1">MIN(25%,(TblConstr[[#This Row],[Tot Fac]]+TblConstr[[#This Row],[Dest Fac]])/TblConstr[[#This Row],[Land]])</f>
        <v>7.4999999999999997E-2</v>
      </c>
      <c r="AK119" s="113">
        <f ca="1">TblProd[[#This Row],[Platinum]]</f>
        <v>1547641</v>
      </c>
      <c r="AL119" s="113">
        <f ca="1">TblProd[[#This Row],[Lumber]]</f>
        <v>57381</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9" s="113">
        <f ca="1">ROUNDDOWN( MAX(1 - MIN(facs_constr_factor*TblConstr[[#This Row],[Facs -DB]],facs_constr_max) + tech_1_11*TblTech[[#This Row],[11-1]] + tech_6_3_2*TblTech[[#This Row],[6-3]] + tech_5_2_3*TblTech[[#This Row],[5-2]], 1-global_constr_cap) * TblConstr[[#This Row],[RCPA Lumber]],0)</f>
        <v>147</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9" s="113">
        <f ca="1">ROUNDDOWN( MAX(1 - MIN(facs_constr_factor*TblConstr[[#This Row],[Facs DB]],facs_constr_max) + tech_1_11*TblTech[[#This Row],[1-11]] + tech_6_3_2*TblTech[[#This Row],[6-3]] + tech_5_2_3*TblTech[[#This Row],[5-2]], 1-global_constr_cap) * TblConstr[[#This Row],[RCPA Lumber]],0)</f>
        <v>147</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1386</v>
      </c>
      <c r="AW119" s="113">
        <f ca="1">ROUND((MAX(TblConstr[[#This Row],[Buildings]],250,0.75*TblConstr[[#This Row],[Land]])-250) * 0.35+87.5,0)</f>
        <v>210</v>
      </c>
      <c r="AX119" s="200"/>
      <c r="AY119" s="243" cm="1">
        <f t="array" aca="1" ref="AY119" ca="1">IF(TblConstr[[#This Row],[Hour]:[Hour]]&gt;12,OFFSET(TblConstr[[#This Row],[Hom]],-12,0),0)+OFFSET(TblConstr[[#This Row],[Tot Hom]],-1,0)-TblConstr[[#This Row],[Dest Hom]]</f>
        <v>48</v>
      </c>
      <c r="AZ119" s="244" cm="1">
        <f t="array" aca="1" ref="AZ119" ca="1">IF(TblConstr[[#This Row],[Hour]:[Hour]]&gt;12,OFFSET(TblConstr[[#This Row],[Alc]],-12,0),0)+OFFSET(TblConstr[[#This Row],[Tot Alc]],-1,0)-TblConstr[[#This Row],[Dest Alc]]</f>
        <v>264</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108</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30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45</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15</v>
      </c>
      <c r="BM119" s="488" cm="1">
        <f t="array" aca="1" ref="BM119" ca="1">IF(TblConstr[[#This Row],[Hour]:[Hour]]&gt;12,OFFSET(TblConstr[[#This Row],[Tem]],-12,0),0)+OFFSET(TblConstr[[#This Row],[Tot Tem]],-1,0)-TblConstr[[#This Row],[Dest Tem]]</f>
        <v>20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20</v>
      </c>
      <c r="BR119" s="184"/>
      <c r="BS119" s="200"/>
      <c r="BT119" s="113">
        <f ca="1">TblConstr[[#This Row],[Land]]</f>
        <v>600</v>
      </c>
      <c r="BU119" s="205">
        <f ca="1">TblImps[[#This Row],[Time]]</f>
        <v>44409.541666666388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402</v>
      </c>
      <c r="DA119" s="113">
        <f t="shared" ca="1" si="31"/>
        <v>20</v>
      </c>
      <c r="DB119" s="49">
        <f t="shared" ca="1" si="32"/>
        <v>30</v>
      </c>
      <c r="DC119" s="113">
        <f t="shared" ca="1" si="33"/>
        <v>45</v>
      </c>
      <c r="DD119" s="113">
        <f t="shared" ca="1" si="34"/>
        <v>35</v>
      </c>
      <c r="DE119" s="49">
        <f t="shared" ca="1" si="35"/>
        <v>0</v>
      </c>
      <c r="DF119" s="113">
        <f t="shared" ca="1" si="36"/>
        <v>20</v>
      </c>
      <c r="DG119" s="113" cm="1">
        <f t="array" aca="1" ref="DG119" ca="1">INDEX(TblConstr[[Total Plain]:[Total Water]],ROW()-ROW(TblConstr[#Headers]),MATCH("Total "&amp;home_land,TblConstr[[#Headers],[Total Plain]:[Total Water]],0))+TblConstr[[#This Row],[Homes]]</f>
        <v>450</v>
      </c>
      <c r="DH119" s="49">
        <f t="shared" ca="1" si="22"/>
        <v>48</v>
      </c>
      <c r="DI119" s="49">
        <f t="shared" ca="1" si="19"/>
        <v>0</v>
      </c>
      <c r="DJ119" s="49">
        <f t="shared" ca="1" si="20"/>
        <v>0</v>
      </c>
    </row>
    <row r="120" spans="1:114" x14ac:dyDescent="0.2">
      <c r="A120" s="228">
        <f>TblRezone[[#This Row],[Hour]]</f>
        <v>117</v>
      </c>
      <c r="B120" s="229">
        <f ca="1">SUM(TblConstr[[#This Row],[Plain]:[Water]])</f>
        <v>0</v>
      </c>
      <c r="C120" s="230">
        <f ca="1">SUM(TblConstr[[#This Row],[Tot Hom]:[Tot Doc]])</f>
        <v>600</v>
      </c>
      <c r="D120" s="230">
        <f t="shared" si="21"/>
        <v>0</v>
      </c>
      <c r="E120" s="231"/>
      <c r="F120" s="74">
        <f ca="1">TblConstr[[#This Row],[Barren]]+TblConstr[[#This Row],[Buildings]]+TblConstr[[#This Row],[Incoming]]</f>
        <v>600</v>
      </c>
      <c r="G120" s="242">
        <f ca="1">OFFSET(TblConstr[[#This Row],[Plain]],-1,0)+TblConstr[[#This Row],[Ch_Plain]]</f>
        <v>0</v>
      </c>
      <c r="H120" s="236">
        <f ca="1">OFFSET(TblConstr[[#This Row],[Forest]],-1,0)+TblConstr[[#This Row],[Ch_Forest]]</f>
        <v>0</v>
      </c>
      <c r="I120" s="478">
        <f ca="1">OFFSET(TblConstr[[#This Row],[Mountain]],-1,0)+TblConstr[[#This Row],[Ch_Mountain]]</f>
        <v>0</v>
      </c>
      <c r="J120" s="482">
        <f ca="1">OFFSET(TblConstr[[#This Row],[Hill]],-1,0)+TblConstr[[#This Row],[Ch_Hill]]</f>
        <v>0</v>
      </c>
      <c r="K120" s="486">
        <f ca="1">OFFSET(TblConstr[[#This Row],[Swamp]],-1,0)+TblConstr[[#This Row],[Ch_Swamp]]</f>
        <v>0</v>
      </c>
      <c r="L120" s="239">
        <f ca="1">OFFSET(TblConstr[[#This Row],[Cavern]],-1,0)+TblConstr[[#This Row],[Ch_Cavern]]</f>
        <v>0</v>
      </c>
      <c r="M120" s="240">
        <f ca="1">OFFSET(TblConstr[[#This Row],[Water]],-1,0)+TblConstr[[#This Row],[Ch_Water]]</f>
        <v>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44409.583333333052</v>
      </c>
      <c r="AI120" s="234">
        <f ca="1">MIN(25%,(TblConstr[[#This Row],[Tot Fac]]+TblConstr[[#This Row],[Dest Fac]])/(TblConstr[[#This Row],[Land]]-TblExplore[[#This Row],[Land Bonus]]*20))</f>
        <v>7.4999999999999997E-2</v>
      </c>
      <c r="AJ120" s="234">
        <f ca="1">MIN(25%,(TblConstr[[#This Row],[Tot Fac]]+TblConstr[[#This Row],[Dest Fac]])/TblConstr[[#This Row],[Land]])</f>
        <v>7.4999999999999997E-2</v>
      </c>
      <c r="AK120" s="113">
        <f ca="1">TblProd[[#This Row],[Platinum]]</f>
        <v>1572462</v>
      </c>
      <c r="AL120" s="113">
        <f ca="1">TblProd[[#This Row],[Lumber]]</f>
        <v>57807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0" s="113">
        <f ca="1">ROUNDDOWN( MAX(1 - MIN(facs_constr_factor*TblConstr[[#This Row],[Facs -DB]],facs_constr_max) + tech_1_11*TblTech[[#This Row],[11-1]] + tech_6_3_2*TblTech[[#This Row],[6-3]] + tech_5_2_3*TblTech[[#This Row],[5-2]], 1-global_constr_cap) * TblConstr[[#This Row],[RCPA Lumber]],0)</f>
        <v>147</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0" s="113">
        <f ca="1">ROUNDDOWN( MAX(1 - MIN(facs_constr_factor*TblConstr[[#This Row],[Facs DB]],facs_constr_max) + tech_1_11*TblTech[[#This Row],[1-11]] + tech_6_3_2*TblTech[[#This Row],[6-3]] + tech_5_2_3*TblTech[[#This Row],[5-2]], 1-global_constr_cap) * TblConstr[[#This Row],[RCPA Lumber]],0)</f>
        <v>147</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1386</v>
      </c>
      <c r="AW120" s="113">
        <f ca="1">ROUND((MAX(TblConstr[[#This Row],[Buildings]],250,0.75*TblConstr[[#This Row],[Land]])-250) * 0.35+87.5,0)</f>
        <v>210</v>
      </c>
      <c r="AX120" s="200"/>
      <c r="AY120" s="243" cm="1">
        <f t="array" aca="1" ref="AY120" ca="1">IF(TblConstr[[#This Row],[Hour]:[Hour]]&gt;12,OFFSET(TblConstr[[#This Row],[Hom]],-12,0),0)+OFFSET(TblConstr[[#This Row],[Tot Hom]],-1,0)-TblConstr[[#This Row],[Dest Hom]]</f>
        <v>48</v>
      </c>
      <c r="AZ120" s="244" cm="1">
        <f t="array" aca="1" ref="AZ120" ca="1">IF(TblConstr[[#This Row],[Hour]:[Hour]]&gt;12,OFFSET(TblConstr[[#This Row],[Alc]],-12,0),0)+OFFSET(TblConstr[[#This Row],[Tot Alc]],-1,0)-TblConstr[[#This Row],[Dest Alc]]</f>
        <v>264</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108</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30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45</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15</v>
      </c>
      <c r="BM120" s="488" cm="1">
        <f t="array" aca="1" ref="BM120" ca="1">IF(TblConstr[[#This Row],[Hour]:[Hour]]&gt;12,OFFSET(TblConstr[[#This Row],[Tem]],-12,0),0)+OFFSET(TblConstr[[#This Row],[Tot Tem]],-1,0)-TblConstr[[#This Row],[Dest Tem]]</f>
        <v>20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20</v>
      </c>
      <c r="BR120" s="184"/>
      <c r="BS120" s="200"/>
      <c r="BT120" s="113">
        <f ca="1">TblConstr[[#This Row],[Land]]</f>
        <v>600</v>
      </c>
      <c r="BU120" s="205">
        <f ca="1">TblImps[[#This Row],[Time]]</f>
        <v>44409.583333333052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402</v>
      </c>
      <c r="DA120" s="113">
        <f t="shared" ca="1" si="31"/>
        <v>20</v>
      </c>
      <c r="DB120" s="49">
        <f t="shared" ca="1" si="32"/>
        <v>30</v>
      </c>
      <c r="DC120" s="113">
        <f t="shared" ca="1" si="33"/>
        <v>45</v>
      </c>
      <c r="DD120" s="113">
        <f t="shared" ca="1" si="34"/>
        <v>35</v>
      </c>
      <c r="DE120" s="49">
        <f t="shared" ca="1" si="35"/>
        <v>0</v>
      </c>
      <c r="DF120" s="113">
        <f t="shared" ca="1" si="36"/>
        <v>20</v>
      </c>
      <c r="DG120" s="113" cm="1">
        <f t="array" aca="1" ref="DG120" ca="1">INDEX(TblConstr[[Total Plain]:[Total Water]],ROW()-ROW(TblConstr[#Headers]),MATCH("Total "&amp;home_land,TblConstr[[#Headers],[Total Plain]:[Total Water]],0))+TblConstr[[#This Row],[Homes]]</f>
        <v>450</v>
      </c>
      <c r="DH120" s="49">
        <f t="shared" ca="1" si="22"/>
        <v>48</v>
      </c>
      <c r="DI120" s="49">
        <f t="shared" ca="1" si="19"/>
        <v>0</v>
      </c>
      <c r="DJ120" s="49">
        <f t="shared" ca="1" si="20"/>
        <v>0</v>
      </c>
    </row>
    <row r="121" spans="1:114" x14ac:dyDescent="0.2">
      <c r="A121" s="228">
        <f>TblRezone[[#This Row],[Hour]]</f>
        <v>118</v>
      </c>
      <c r="B121" s="229">
        <f ca="1">SUM(TblConstr[[#This Row],[Plain]:[Water]])</f>
        <v>0</v>
      </c>
      <c r="C121" s="230">
        <f ca="1">SUM(TblConstr[[#This Row],[Tot Hom]:[Tot Doc]])</f>
        <v>600</v>
      </c>
      <c r="D121" s="230">
        <f t="shared" si="21"/>
        <v>0</v>
      </c>
      <c r="E121" s="231"/>
      <c r="F121" s="74">
        <f ca="1">TblConstr[[#This Row],[Barren]]+TblConstr[[#This Row],[Buildings]]+TblConstr[[#This Row],[Incoming]]</f>
        <v>600</v>
      </c>
      <c r="G121" s="242">
        <f ca="1">OFFSET(TblConstr[[#This Row],[Plain]],-1,0)+TblConstr[[#This Row],[Ch_Plain]]</f>
        <v>0</v>
      </c>
      <c r="H121" s="236">
        <f ca="1">OFFSET(TblConstr[[#This Row],[Forest]],-1,0)+TblConstr[[#This Row],[Ch_Forest]]</f>
        <v>0</v>
      </c>
      <c r="I121" s="478">
        <f ca="1">OFFSET(TblConstr[[#This Row],[Mountain]],-1,0)+TblConstr[[#This Row],[Ch_Mountain]]</f>
        <v>0</v>
      </c>
      <c r="J121" s="482">
        <f ca="1">OFFSET(TblConstr[[#This Row],[Hill]],-1,0)+TblConstr[[#This Row],[Ch_Hill]]</f>
        <v>0</v>
      </c>
      <c r="K121" s="486">
        <f ca="1">OFFSET(TblConstr[[#This Row],[Swamp]],-1,0)+TblConstr[[#This Row],[Ch_Swamp]]</f>
        <v>0</v>
      </c>
      <c r="L121" s="239">
        <f ca="1">OFFSET(TblConstr[[#This Row],[Cavern]],-1,0)+TblConstr[[#This Row],[Ch_Cavern]]</f>
        <v>0</v>
      </c>
      <c r="M121" s="240">
        <f ca="1">OFFSET(TblConstr[[#This Row],[Water]],-1,0)+TblConstr[[#This Row],[Ch_Water]]</f>
        <v>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44409.624999999716</v>
      </c>
      <c r="AI121" s="234">
        <f ca="1">MIN(25%,(TblConstr[[#This Row],[Tot Fac]]+TblConstr[[#This Row],[Dest Fac]])/(TblConstr[[#This Row],[Land]]-TblExplore[[#This Row],[Land Bonus]]*20))</f>
        <v>7.4999999999999997E-2</v>
      </c>
      <c r="AJ121" s="234">
        <f ca="1">MIN(25%,(TblConstr[[#This Row],[Tot Fac]]+TblConstr[[#This Row],[Dest Fac]])/TblConstr[[#This Row],[Land]])</f>
        <v>7.4999999999999997E-2</v>
      </c>
      <c r="AK121" s="113">
        <f ca="1">TblProd[[#This Row],[Platinum]]</f>
        <v>1597153</v>
      </c>
      <c r="AL121" s="113">
        <f ca="1">TblProd[[#This Row],[Lumber]]</f>
        <v>58229</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1" s="113">
        <f ca="1">ROUNDDOWN( MAX(1 - MIN(facs_constr_factor*TblConstr[[#This Row],[Facs -DB]],facs_constr_max) + tech_1_11*TblTech[[#This Row],[11-1]] + tech_6_3_2*TblTech[[#This Row],[6-3]] + tech_5_2_3*TblTech[[#This Row],[5-2]], 1-global_constr_cap) * TblConstr[[#This Row],[RCPA Lumber]],0)</f>
        <v>147</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1" s="113">
        <f ca="1">ROUNDDOWN( MAX(1 - MIN(facs_constr_factor*TblConstr[[#This Row],[Facs DB]],facs_constr_max) + tech_1_11*TblTech[[#This Row],[1-11]] + tech_6_3_2*TblTech[[#This Row],[6-3]] + tech_5_2_3*TblTech[[#This Row],[5-2]], 1-global_constr_cap) * TblConstr[[#This Row],[RCPA Lumber]],0)</f>
        <v>147</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1386</v>
      </c>
      <c r="AW121" s="113">
        <f ca="1">ROUND((MAX(TblConstr[[#This Row],[Buildings]],250,0.75*TblConstr[[#This Row],[Land]])-250) * 0.35+87.5,0)</f>
        <v>210</v>
      </c>
      <c r="AX121" s="200"/>
      <c r="AY121" s="243" cm="1">
        <f t="array" aca="1" ref="AY121" ca="1">IF(TblConstr[[#This Row],[Hour]:[Hour]]&gt;12,OFFSET(TblConstr[[#This Row],[Hom]],-12,0),0)+OFFSET(TblConstr[[#This Row],[Tot Hom]],-1,0)-TblConstr[[#This Row],[Dest Hom]]</f>
        <v>48</v>
      </c>
      <c r="AZ121" s="244" cm="1">
        <f t="array" aca="1" ref="AZ121" ca="1">IF(TblConstr[[#This Row],[Hour]:[Hour]]&gt;12,OFFSET(TblConstr[[#This Row],[Alc]],-12,0),0)+OFFSET(TblConstr[[#This Row],[Tot Alc]],-1,0)-TblConstr[[#This Row],[Dest Alc]]</f>
        <v>264</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108</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30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45</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15</v>
      </c>
      <c r="BM121" s="488" cm="1">
        <f t="array" aca="1" ref="BM121" ca="1">IF(TblConstr[[#This Row],[Hour]:[Hour]]&gt;12,OFFSET(TblConstr[[#This Row],[Tem]],-12,0),0)+OFFSET(TblConstr[[#This Row],[Tot Tem]],-1,0)-TblConstr[[#This Row],[Dest Tem]]</f>
        <v>20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20</v>
      </c>
      <c r="BR121" s="184"/>
      <c r="BS121" s="200"/>
      <c r="BT121" s="113">
        <f ca="1">TblConstr[[#This Row],[Land]]</f>
        <v>600</v>
      </c>
      <c r="BU121" s="205">
        <f ca="1">TblImps[[#This Row],[Time]]</f>
        <v>44409.624999999716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402</v>
      </c>
      <c r="DA121" s="113">
        <f t="shared" ca="1" si="31"/>
        <v>20</v>
      </c>
      <c r="DB121" s="49">
        <f t="shared" ca="1" si="32"/>
        <v>30</v>
      </c>
      <c r="DC121" s="113">
        <f t="shared" ca="1" si="33"/>
        <v>45</v>
      </c>
      <c r="DD121" s="113">
        <f t="shared" ca="1" si="34"/>
        <v>35</v>
      </c>
      <c r="DE121" s="49">
        <f t="shared" ca="1" si="35"/>
        <v>0</v>
      </c>
      <c r="DF121" s="113">
        <f t="shared" ca="1" si="36"/>
        <v>20</v>
      </c>
      <c r="DG121" s="113" cm="1">
        <f t="array" aca="1" ref="DG121" ca="1">INDEX(TblConstr[[Total Plain]:[Total Water]],ROW()-ROW(TblConstr[#Headers]),MATCH("Total "&amp;home_land,TblConstr[[#Headers],[Total Plain]:[Total Water]],0))+TblConstr[[#This Row],[Homes]]</f>
        <v>450</v>
      </c>
      <c r="DH121" s="49">
        <f t="shared" ca="1" si="22"/>
        <v>48</v>
      </c>
      <c r="DI121" s="49">
        <f t="shared" ca="1" si="19"/>
        <v>0</v>
      </c>
      <c r="DJ121" s="49">
        <f t="shared" ca="1" si="20"/>
        <v>0</v>
      </c>
    </row>
    <row r="122" spans="1:114" x14ac:dyDescent="0.2">
      <c r="A122" s="228">
        <f>TblRezone[[#This Row],[Hour]]</f>
        <v>119</v>
      </c>
      <c r="B122" s="229">
        <f ca="1">SUM(TblConstr[[#This Row],[Plain]:[Water]])</f>
        <v>0</v>
      </c>
      <c r="C122" s="230">
        <f ca="1">SUM(TblConstr[[#This Row],[Tot Hom]:[Tot Doc]])</f>
        <v>600</v>
      </c>
      <c r="D122" s="230">
        <f t="shared" si="21"/>
        <v>0</v>
      </c>
      <c r="E122" s="231"/>
      <c r="F122" s="74">
        <f ca="1">TblConstr[[#This Row],[Barren]]+TblConstr[[#This Row],[Buildings]]+TblConstr[[#This Row],[Incoming]]</f>
        <v>600</v>
      </c>
      <c r="G122" s="242">
        <f ca="1">OFFSET(TblConstr[[#This Row],[Plain]],-1,0)+TblConstr[[#This Row],[Ch_Plain]]</f>
        <v>0</v>
      </c>
      <c r="H122" s="236">
        <f ca="1">OFFSET(TblConstr[[#This Row],[Forest]],-1,0)+TblConstr[[#This Row],[Ch_Forest]]</f>
        <v>0</v>
      </c>
      <c r="I122" s="478">
        <f ca="1">OFFSET(TblConstr[[#This Row],[Mountain]],-1,0)+TblConstr[[#This Row],[Ch_Mountain]]</f>
        <v>0</v>
      </c>
      <c r="J122" s="482">
        <f ca="1">OFFSET(TblConstr[[#This Row],[Hill]],-1,0)+TblConstr[[#This Row],[Ch_Hill]]</f>
        <v>0</v>
      </c>
      <c r="K122" s="486">
        <f ca="1">OFFSET(TblConstr[[#This Row],[Swamp]],-1,0)+TblConstr[[#This Row],[Ch_Swamp]]</f>
        <v>0</v>
      </c>
      <c r="L122" s="239">
        <f ca="1">OFFSET(TblConstr[[#This Row],[Cavern]],-1,0)+TblConstr[[#This Row],[Ch_Cavern]]</f>
        <v>0</v>
      </c>
      <c r="M122" s="240">
        <f ca="1">OFFSET(TblConstr[[#This Row],[Water]],-1,0)+TblConstr[[#This Row],[Ch_Water]]</f>
        <v>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44409.66666666638</v>
      </c>
      <c r="AI122" s="234">
        <f ca="1">MIN(25%,(TblConstr[[#This Row],[Tot Fac]]+TblConstr[[#This Row],[Dest Fac]])/(TblConstr[[#This Row],[Land]]-TblExplore[[#This Row],[Land Bonus]]*20))</f>
        <v>7.4999999999999997E-2</v>
      </c>
      <c r="AJ122" s="234">
        <f ca="1">MIN(25%,(TblConstr[[#This Row],[Tot Fac]]+TblConstr[[#This Row],[Dest Fac]])/TblConstr[[#This Row],[Land]])</f>
        <v>7.4999999999999997E-2</v>
      </c>
      <c r="AK122" s="113">
        <f ca="1">TblProd[[#This Row],[Platinum]]</f>
        <v>1621717</v>
      </c>
      <c r="AL122" s="113">
        <f ca="1">TblProd[[#This Row],[Lumber]]</f>
        <v>58647</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2" s="113">
        <f ca="1">ROUNDDOWN( MAX(1 - MIN(facs_constr_factor*TblConstr[[#This Row],[Facs -DB]],facs_constr_max) + tech_1_11*TblTech[[#This Row],[11-1]] + tech_6_3_2*TblTech[[#This Row],[6-3]] + tech_5_2_3*TblTech[[#This Row],[5-2]], 1-global_constr_cap) * TblConstr[[#This Row],[RCPA Lumber]],0)</f>
        <v>147</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2" s="113">
        <f ca="1">ROUNDDOWN( MAX(1 - MIN(facs_constr_factor*TblConstr[[#This Row],[Facs DB]],facs_constr_max) + tech_1_11*TblTech[[#This Row],[1-11]] + tech_6_3_2*TblTech[[#This Row],[6-3]] + tech_5_2_3*TblTech[[#This Row],[5-2]], 1-global_constr_cap) * TblConstr[[#This Row],[RCPA Lumber]],0)</f>
        <v>147</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1386</v>
      </c>
      <c r="AW122" s="113">
        <f ca="1">ROUND((MAX(TblConstr[[#This Row],[Buildings]],250,0.75*TblConstr[[#This Row],[Land]])-250) * 0.35+87.5,0)</f>
        <v>210</v>
      </c>
      <c r="AX122" s="200"/>
      <c r="AY122" s="243" cm="1">
        <f t="array" aca="1" ref="AY122" ca="1">IF(TblConstr[[#This Row],[Hour]:[Hour]]&gt;12,OFFSET(TblConstr[[#This Row],[Hom]],-12,0),0)+OFFSET(TblConstr[[#This Row],[Tot Hom]],-1,0)-TblConstr[[#This Row],[Dest Hom]]</f>
        <v>48</v>
      </c>
      <c r="AZ122" s="244" cm="1">
        <f t="array" aca="1" ref="AZ122" ca="1">IF(TblConstr[[#This Row],[Hour]:[Hour]]&gt;12,OFFSET(TblConstr[[#This Row],[Alc]],-12,0),0)+OFFSET(TblConstr[[#This Row],[Tot Alc]],-1,0)-TblConstr[[#This Row],[Dest Alc]]</f>
        <v>264</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108</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30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45</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15</v>
      </c>
      <c r="BM122" s="488" cm="1">
        <f t="array" aca="1" ref="BM122" ca="1">IF(TblConstr[[#This Row],[Hour]:[Hour]]&gt;12,OFFSET(TblConstr[[#This Row],[Tem]],-12,0),0)+OFFSET(TblConstr[[#This Row],[Tot Tem]],-1,0)-TblConstr[[#This Row],[Dest Tem]]</f>
        <v>20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20</v>
      </c>
      <c r="BR122" s="184"/>
      <c r="BS122" s="200"/>
      <c r="BT122" s="113">
        <f ca="1">TblConstr[[#This Row],[Land]]</f>
        <v>600</v>
      </c>
      <c r="BU122" s="205">
        <f ca="1">TblImps[[#This Row],[Time]]</f>
        <v>44409.66666666638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402</v>
      </c>
      <c r="DA122" s="113">
        <f t="shared" ca="1" si="31"/>
        <v>20</v>
      </c>
      <c r="DB122" s="49">
        <f t="shared" ca="1" si="32"/>
        <v>30</v>
      </c>
      <c r="DC122" s="113">
        <f t="shared" ca="1" si="33"/>
        <v>45</v>
      </c>
      <c r="DD122" s="113">
        <f t="shared" ca="1" si="34"/>
        <v>35</v>
      </c>
      <c r="DE122" s="49">
        <f t="shared" ca="1" si="35"/>
        <v>0</v>
      </c>
      <c r="DF122" s="113">
        <f t="shared" ca="1" si="36"/>
        <v>20</v>
      </c>
      <c r="DG122" s="113" cm="1">
        <f t="array" aca="1" ref="DG122" ca="1">INDEX(TblConstr[[Total Plain]:[Total Water]],ROW()-ROW(TblConstr[#Headers]),MATCH("Total "&amp;home_land,TblConstr[[#Headers],[Total Plain]:[Total Water]],0))+TblConstr[[#This Row],[Homes]]</f>
        <v>450</v>
      </c>
      <c r="DH122" s="49">
        <f t="shared" ca="1" si="22"/>
        <v>48</v>
      </c>
      <c r="DI122" s="49">
        <f t="shared" ca="1" si="19"/>
        <v>0</v>
      </c>
      <c r="DJ122" s="49">
        <f t="shared" ca="1" si="20"/>
        <v>0</v>
      </c>
    </row>
    <row r="123" spans="1:114" x14ac:dyDescent="0.2">
      <c r="A123" s="228">
        <f>TblRezone[[#This Row],[Hour]]</f>
        <v>120</v>
      </c>
      <c r="B123" s="229">
        <f ca="1">SUM(TblConstr[[#This Row],[Plain]:[Water]])</f>
        <v>0</v>
      </c>
      <c r="C123" s="230">
        <f ca="1">SUM(TblConstr[[#This Row],[Tot Hom]:[Tot Doc]])</f>
        <v>600</v>
      </c>
      <c r="D123" s="230">
        <f t="shared" si="21"/>
        <v>0</v>
      </c>
      <c r="E123" s="231"/>
      <c r="F123" s="74">
        <f ca="1">TblConstr[[#This Row],[Barren]]+TblConstr[[#This Row],[Buildings]]+TblConstr[[#This Row],[Incoming]]</f>
        <v>600</v>
      </c>
      <c r="G123" s="242">
        <f ca="1">OFFSET(TblConstr[[#This Row],[Plain]],-1,0)+TblConstr[[#This Row],[Ch_Plain]]</f>
        <v>0</v>
      </c>
      <c r="H123" s="236">
        <f ca="1">OFFSET(TblConstr[[#This Row],[Forest]],-1,0)+TblConstr[[#This Row],[Ch_Forest]]</f>
        <v>0</v>
      </c>
      <c r="I123" s="478">
        <f ca="1">OFFSET(TblConstr[[#This Row],[Mountain]],-1,0)+TblConstr[[#This Row],[Ch_Mountain]]</f>
        <v>0</v>
      </c>
      <c r="J123" s="482">
        <f ca="1">OFFSET(TblConstr[[#This Row],[Hill]],-1,0)+TblConstr[[#This Row],[Ch_Hill]]</f>
        <v>0</v>
      </c>
      <c r="K123" s="486">
        <f ca="1">OFFSET(TblConstr[[#This Row],[Swamp]],-1,0)+TblConstr[[#This Row],[Ch_Swamp]]</f>
        <v>0</v>
      </c>
      <c r="L123" s="239">
        <f ca="1">OFFSET(TblConstr[[#This Row],[Cavern]],-1,0)+TblConstr[[#This Row],[Ch_Cavern]]</f>
        <v>0</v>
      </c>
      <c r="M123" s="240">
        <f ca="1">OFFSET(TblConstr[[#This Row],[Water]],-1,0)+TblConstr[[#This Row],[Ch_Water]]</f>
        <v>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44409.708333333045</v>
      </c>
      <c r="AI123" s="234">
        <f ca="1">MIN(25%,(TblConstr[[#This Row],[Tot Fac]]+TblConstr[[#This Row],[Dest Fac]])/(TblConstr[[#This Row],[Land]]-TblExplore[[#This Row],[Land Bonus]]*20))</f>
        <v>7.4999999999999997E-2</v>
      </c>
      <c r="AJ123" s="234">
        <f ca="1">MIN(25%,(TblConstr[[#This Row],[Tot Fac]]+TblConstr[[#This Row],[Dest Fac]])/TblConstr[[#This Row],[Land]])</f>
        <v>7.4999999999999997E-2</v>
      </c>
      <c r="AK123" s="113">
        <f ca="1">TblProd[[#This Row],[Platinum]]</f>
        <v>1646154</v>
      </c>
      <c r="AL123" s="113">
        <f ca="1">TblProd[[#This Row],[Lumber]]</f>
        <v>59061</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3" s="113">
        <f ca="1">ROUNDDOWN( MAX(1 - MIN(facs_constr_factor*TblConstr[[#This Row],[Facs -DB]],facs_constr_max) + tech_1_11*TblTech[[#This Row],[11-1]] + tech_6_3_2*TblTech[[#This Row],[6-3]] + tech_5_2_3*TblTech[[#This Row],[5-2]], 1-global_constr_cap) * TblConstr[[#This Row],[RCPA Lumber]],0)</f>
        <v>147</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3" s="113">
        <f ca="1">ROUNDDOWN( MAX(1 - MIN(facs_constr_factor*TblConstr[[#This Row],[Facs DB]],facs_constr_max) + tech_1_11*TblTech[[#This Row],[1-11]] + tech_6_3_2*TblTech[[#This Row],[6-3]] + tech_5_2_3*TblTech[[#This Row],[5-2]], 1-global_constr_cap) * TblConstr[[#This Row],[RCPA Lumber]],0)</f>
        <v>147</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1386</v>
      </c>
      <c r="AW123" s="113">
        <f ca="1">ROUND((MAX(TblConstr[[#This Row],[Buildings]],250,0.75*TblConstr[[#This Row],[Land]])-250) * 0.35+87.5,0)</f>
        <v>210</v>
      </c>
      <c r="AX123" s="200"/>
      <c r="AY123" s="243" cm="1">
        <f t="array" aca="1" ref="AY123" ca="1">IF(TblConstr[[#This Row],[Hour]:[Hour]]&gt;12,OFFSET(TblConstr[[#This Row],[Hom]],-12,0),0)+OFFSET(TblConstr[[#This Row],[Tot Hom]],-1,0)-TblConstr[[#This Row],[Dest Hom]]</f>
        <v>48</v>
      </c>
      <c r="AZ123" s="244" cm="1">
        <f t="array" aca="1" ref="AZ123" ca="1">IF(TblConstr[[#This Row],[Hour]:[Hour]]&gt;12,OFFSET(TblConstr[[#This Row],[Alc]],-12,0),0)+OFFSET(TblConstr[[#This Row],[Tot Alc]],-1,0)-TblConstr[[#This Row],[Dest Alc]]</f>
        <v>264</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108</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30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45</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15</v>
      </c>
      <c r="BM123" s="488" cm="1">
        <f t="array" aca="1" ref="BM123" ca="1">IF(TblConstr[[#This Row],[Hour]:[Hour]]&gt;12,OFFSET(TblConstr[[#This Row],[Tem]],-12,0),0)+OFFSET(TblConstr[[#This Row],[Tot Tem]],-1,0)-TblConstr[[#This Row],[Dest Tem]]</f>
        <v>20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20</v>
      </c>
      <c r="BR123" s="184"/>
      <c r="BS123" s="200"/>
      <c r="BT123" s="113">
        <f ca="1">TblConstr[[#This Row],[Land]]</f>
        <v>600</v>
      </c>
      <c r="BU123" s="205">
        <f ca="1">TblImps[[#This Row],[Time]]</f>
        <v>44409.708333333045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402</v>
      </c>
      <c r="DA123" s="113">
        <f t="shared" ca="1" si="31"/>
        <v>20</v>
      </c>
      <c r="DB123" s="49">
        <f t="shared" ca="1" si="32"/>
        <v>30</v>
      </c>
      <c r="DC123" s="113">
        <f t="shared" ca="1" si="33"/>
        <v>45</v>
      </c>
      <c r="DD123" s="113">
        <f t="shared" ca="1" si="34"/>
        <v>35</v>
      </c>
      <c r="DE123" s="49">
        <f t="shared" ca="1" si="35"/>
        <v>0</v>
      </c>
      <c r="DF123" s="113">
        <f t="shared" ca="1" si="36"/>
        <v>20</v>
      </c>
      <c r="DG123" s="113" cm="1">
        <f t="array" aca="1" ref="DG123" ca="1">INDEX(TblConstr[[Total Plain]:[Total Water]],ROW()-ROW(TblConstr[#Headers]),MATCH("Total "&amp;home_land,TblConstr[[#Headers],[Total Plain]:[Total Water]],0))+TblConstr[[#This Row],[Homes]]</f>
        <v>450</v>
      </c>
      <c r="DH123" s="49">
        <f t="shared" ca="1" si="22"/>
        <v>48</v>
      </c>
      <c r="DI123" s="49">
        <f t="shared" ca="1" si="19"/>
        <v>0</v>
      </c>
      <c r="DJ123" s="49">
        <f t="shared" ca="1" si="20"/>
        <v>0</v>
      </c>
    </row>
    <row r="124" spans="1:114" x14ac:dyDescent="0.2">
      <c r="A124" s="228">
        <f>TblRezone[[#This Row],[Hour]]</f>
        <v>121</v>
      </c>
      <c r="B124" s="229">
        <f ca="1">SUM(TblConstr[[#This Row],[Plain]:[Water]])</f>
        <v>0</v>
      </c>
      <c r="C124" s="230">
        <f ca="1">SUM(TblConstr[[#This Row],[Tot Hom]:[Tot Doc]])</f>
        <v>600</v>
      </c>
      <c r="D124" s="230">
        <f t="shared" si="21"/>
        <v>0</v>
      </c>
      <c r="E124" s="231"/>
      <c r="F124" s="74">
        <f ca="1">TblConstr[[#This Row],[Barren]]+TblConstr[[#This Row],[Buildings]]+TblConstr[[#This Row],[Incoming]]</f>
        <v>600</v>
      </c>
      <c r="G124" s="242">
        <f ca="1">OFFSET(TblConstr[[#This Row],[Plain]],-1,0)+TblConstr[[#This Row],[Ch_Plain]]</f>
        <v>0</v>
      </c>
      <c r="H124" s="236">
        <f ca="1">OFFSET(TblConstr[[#This Row],[Forest]],-1,0)+TblConstr[[#This Row],[Ch_Forest]]</f>
        <v>0</v>
      </c>
      <c r="I124" s="478">
        <f ca="1">OFFSET(TblConstr[[#This Row],[Mountain]],-1,0)+TblConstr[[#This Row],[Ch_Mountain]]</f>
        <v>0</v>
      </c>
      <c r="J124" s="482">
        <f ca="1">OFFSET(TblConstr[[#This Row],[Hill]],-1,0)+TblConstr[[#This Row],[Ch_Hill]]</f>
        <v>0</v>
      </c>
      <c r="K124" s="486">
        <f ca="1">OFFSET(TblConstr[[#This Row],[Swamp]],-1,0)+TblConstr[[#This Row],[Ch_Swamp]]</f>
        <v>0</v>
      </c>
      <c r="L124" s="239">
        <f ca="1">OFFSET(TblConstr[[#This Row],[Cavern]],-1,0)+TblConstr[[#This Row],[Ch_Cavern]]</f>
        <v>0</v>
      </c>
      <c r="M124" s="240">
        <f ca="1">OFFSET(TblConstr[[#This Row],[Water]],-1,0)+TblConstr[[#This Row],[Ch_Water]]</f>
        <v>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44409.749999999709</v>
      </c>
      <c r="AI124" s="234">
        <f ca="1">MIN(25%,(TblConstr[[#This Row],[Tot Fac]]+TblConstr[[#This Row],[Dest Fac]])/(TblConstr[[#This Row],[Land]]-TblExplore[[#This Row],[Land Bonus]]*20))</f>
        <v>7.4999999999999997E-2</v>
      </c>
      <c r="AJ124" s="234">
        <f ca="1">MIN(25%,(TblConstr[[#This Row],[Tot Fac]]+TblConstr[[#This Row],[Dest Fac]])/TblConstr[[#This Row],[Land]])</f>
        <v>7.4999999999999997E-2</v>
      </c>
      <c r="AK124" s="113">
        <f ca="1">TblProd[[#This Row],[Platinum]]</f>
        <v>1670464</v>
      </c>
      <c r="AL124" s="113">
        <f ca="1">TblProd[[#This Row],[Lumber]]</f>
        <v>59470</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4" s="113">
        <f ca="1">ROUNDDOWN( MAX(1 - MIN(facs_constr_factor*TblConstr[[#This Row],[Facs -DB]],facs_constr_max) + tech_1_11*TblTech[[#This Row],[11-1]] + tech_6_3_2*TblTech[[#This Row],[6-3]] + tech_5_2_3*TblTech[[#This Row],[5-2]], 1-global_constr_cap) * TblConstr[[#This Row],[RCPA Lumber]],0)</f>
        <v>147</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4" s="113">
        <f ca="1">ROUNDDOWN( MAX(1 - MIN(facs_constr_factor*TblConstr[[#This Row],[Facs DB]],facs_constr_max) + tech_1_11*TblTech[[#This Row],[1-11]] + tech_6_3_2*TblTech[[#This Row],[6-3]] + tech_5_2_3*TblTech[[#This Row],[5-2]], 1-global_constr_cap) * TblConstr[[#This Row],[RCPA Lumber]],0)</f>
        <v>147</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1386</v>
      </c>
      <c r="AW124" s="113">
        <f ca="1">ROUND((MAX(TblConstr[[#This Row],[Buildings]],250,0.75*TblConstr[[#This Row],[Land]])-250) * 0.35+87.5,0)</f>
        <v>210</v>
      </c>
      <c r="AX124" s="200"/>
      <c r="AY124" s="243" cm="1">
        <f t="array" aca="1" ref="AY124" ca="1">IF(TblConstr[[#This Row],[Hour]:[Hour]]&gt;12,OFFSET(TblConstr[[#This Row],[Hom]],-12,0),0)+OFFSET(TblConstr[[#This Row],[Tot Hom]],-1,0)-TblConstr[[#This Row],[Dest Hom]]</f>
        <v>48</v>
      </c>
      <c r="AZ124" s="244" cm="1">
        <f t="array" aca="1" ref="AZ124" ca="1">IF(TblConstr[[#This Row],[Hour]:[Hour]]&gt;12,OFFSET(TblConstr[[#This Row],[Alc]],-12,0),0)+OFFSET(TblConstr[[#This Row],[Tot Alc]],-1,0)-TblConstr[[#This Row],[Dest Alc]]</f>
        <v>264</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108</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30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45</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15</v>
      </c>
      <c r="BM124" s="488" cm="1">
        <f t="array" aca="1" ref="BM124" ca="1">IF(TblConstr[[#This Row],[Hour]:[Hour]]&gt;12,OFFSET(TblConstr[[#This Row],[Tem]],-12,0),0)+OFFSET(TblConstr[[#This Row],[Tot Tem]],-1,0)-TblConstr[[#This Row],[Dest Tem]]</f>
        <v>20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20</v>
      </c>
      <c r="BR124" s="184"/>
      <c r="BS124" s="200"/>
      <c r="BT124" s="113">
        <f ca="1">TblConstr[[#This Row],[Land]]</f>
        <v>600</v>
      </c>
      <c r="BU124" s="205">
        <f ca="1">TblImps[[#This Row],[Time]]</f>
        <v>44409.749999999709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402</v>
      </c>
      <c r="DA124" s="113">
        <f t="shared" ca="1" si="31"/>
        <v>20</v>
      </c>
      <c r="DB124" s="49">
        <f t="shared" ca="1" si="32"/>
        <v>30</v>
      </c>
      <c r="DC124" s="113">
        <f t="shared" ca="1" si="33"/>
        <v>45</v>
      </c>
      <c r="DD124" s="113">
        <f t="shared" ca="1" si="34"/>
        <v>35</v>
      </c>
      <c r="DE124" s="49">
        <f t="shared" ca="1" si="35"/>
        <v>0</v>
      </c>
      <c r="DF124" s="113">
        <f t="shared" ca="1" si="36"/>
        <v>20</v>
      </c>
      <c r="DG124" s="113" cm="1">
        <f t="array" aca="1" ref="DG124" ca="1">INDEX(TblConstr[[Total Plain]:[Total Water]],ROW()-ROW(TblConstr[#Headers]),MATCH("Total "&amp;home_land,TblConstr[[#Headers],[Total Plain]:[Total Water]],0))+TblConstr[[#This Row],[Homes]]</f>
        <v>450</v>
      </c>
      <c r="DH124" s="49">
        <f t="shared" ca="1" si="22"/>
        <v>48</v>
      </c>
      <c r="DI124" s="49">
        <f t="shared" ca="1" si="19"/>
        <v>0</v>
      </c>
      <c r="DJ124" s="49">
        <f t="shared" ca="1" si="20"/>
        <v>0</v>
      </c>
    </row>
    <row r="125" spans="1:114" x14ac:dyDescent="0.2">
      <c r="A125" s="228">
        <f>TblRezone[[#This Row],[Hour]]</f>
        <v>122</v>
      </c>
      <c r="B125" s="229">
        <f ca="1">SUM(TblConstr[[#This Row],[Plain]:[Water]])</f>
        <v>0</v>
      </c>
      <c r="C125" s="230">
        <f ca="1">SUM(TblConstr[[#This Row],[Tot Hom]:[Tot Doc]])</f>
        <v>600</v>
      </c>
      <c r="D125" s="230">
        <f t="shared" si="21"/>
        <v>0</v>
      </c>
      <c r="E125" s="231"/>
      <c r="F125" s="74">
        <f ca="1">TblConstr[[#This Row],[Barren]]+TblConstr[[#This Row],[Buildings]]+TblConstr[[#This Row],[Incoming]]</f>
        <v>600</v>
      </c>
      <c r="G125" s="242">
        <f ca="1">OFFSET(TblConstr[[#This Row],[Plain]],-1,0)+TblConstr[[#This Row],[Ch_Plain]]</f>
        <v>0</v>
      </c>
      <c r="H125" s="236">
        <f ca="1">OFFSET(TblConstr[[#This Row],[Forest]],-1,0)+TblConstr[[#This Row],[Ch_Forest]]</f>
        <v>0</v>
      </c>
      <c r="I125" s="478">
        <f ca="1">OFFSET(TblConstr[[#This Row],[Mountain]],-1,0)+TblConstr[[#This Row],[Ch_Mountain]]</f>
        <v>0</v>
      </c>
      <c r="J125" s="482">
        <f ca="1">OFFSET(TblConstr[[#This Row],[Hill]],-1,0)+TblConstr[[#This Row],[Ch_Hill]]</f>
        <v>0</v>
      </c>
      <c r="K125" s="486">
        <f ca="1">OFFSET(TblConstr[[#This Row],[Swamp]],-1,0)+TblConstr[[#This Row],[Ch_Swamp]]</f>
        <v>0</v>
      </c>
      <c r="L125" s="239">
        <f ca="1">OFFSET(TblConstr[[#This Row],[Cavern]],-1,0)+TblConstr[[#This Row],[Ch_Cavern]]</f>
        <v>0</v>
      </c>
      <c r="M125" s="240">
        <f ca="1">OFFSET(TblConstr[[#This Row],[Water]],-1,0)+TblConstr[[#This Row],[Ch_Water]]</f>
        <v>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44409.791666666373</v>
      </c>
      <c r="AI125" s="234">
        <f ca="1">MIN(25%,(TblConstr[[#This Row],[Tot Fac]]+TblConstr[[#This Row],[Dest Fac]])/(TblConstr[[#This Row],[Land]]-TblExplore[[#This Row],[Land Bonus]]*20))</f>
        <v>7.4999999999999997E-2</v>
      </c>
      <c r="AJ125" s="234">
        <f ca="1">MIN(25%,(TblConstr[[#This Row],[Tot Fac]]+TblConstr[[#This Row],[Dest Fac]])/TblConstr[[#This Row],[Land]])</f>
        <v>7.4999999999999997E-2</v>
      </c>
      <c r="AK125" s="113">
        <f ca="1">TblProd[[#This Row],[Platinum]]</f>
        <v>1694650</v>
      </c>
      <c r="AL125" s="113">
        <f ca="1">TblProd[[#This Row],[Lumber]]</f>
        <v>59875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5" s="113">
        <f ca="1">ROUNDDOWN( MAX(1 - MIN(facs_constr_factor*TblConstr[[#This Row],[Facs -DB]],facs_constr_max) + tech_1_11*TblTech[[#This Row],[11-1]] + tech_6_3_2*TblTech[[#This Row],[6-3]] + tech_5_2_3*TblTech[[#This Row],[5-2]], 1-global_constr_cap) * TblConstr[[#This Row],[RCPA Lumber]],0)</f>
        <v>147</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5" s="113">
        <f ca="1">ROUNDDOWN( MAX(1 - MIN(facs_constr_factor*TblConstr[[#This Row],[Facs DB]],facs_constr_max) + tech_1_11*TblTech[[#This Row],[1-11]] + tech_6_3_2*TblTech[[#This Row],[6-3]] + tech_5_2_3*TblTech[[#This Row],[5-2]], 1-global_constr_cap) * TblConstr[[#This Row],[RCPA Lumber]],0)</f>
        <v>147</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1386</v>
      </c>
      <c r="AW125" s="113">
        <f ca="1">ROUND((MAX(TblConstr[[#This Row],[Buildings]],250,0.75*TblConstr[[#This Row],[Land]])-250) * 0.35+87.5,0)</f>
        <v>210</v>
      </c>
      <c r="AX125" s="200"/>
      <c r="AY125" s="243" cm="1">
        <f t="array" aca="1" ref="AY125" ca="1">IF(TblConstr[[#This Row],[Hour]:[Hour]]&gt;12,OFFSET(TblConstr[[#This Row],[Hom]],-12,0),0)+OFFSET(TblConstr[[#This Row],[Tot Hom]],-1,0)-TblConstr[[#This Row],[Dest Hom]]</f>
        <v>48</v>
      </c>
      <c r="AZ125" s="244" cm="1">
        <f t="array" aca="1" ref="AZ125" ca="1">IF(TblConstr[[#This Row],[Hour]:[Hour]]&gt;12,OFFSET(TblConstr[[#This Row],[Alc]],-12,0),0)+OFFSET(TblConstr[[#This Row],[Tot Alc]],-1,0)-TblConstr[[#This Row],[Dest Alc]]</f>
        <v>264</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108</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30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45</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15</v>
      </c>
      <c r="BM125" s="488" cm="1">
        <f t="array" aca="1" ref="BM125" ca="1">IF(TblConstr[[#This Row],[Hour]:[Hour]]&gt;12,OFFSET(TblConstr[[#This Row],[Tem]],-12,0),0)+OFFSET(TblConstr[[#This Row],[Tot Tem]],-1,0)-TblConstr[[#This Row],[Dest Tem]]</f>
        <v>20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20</v>
      </c>
      <c r="BR125" s="184"/>
      <c r="BS125" s="200"/>
      <c r="BT125" s="113">
        <f ca="1">TblConstr[[#This Row],[Land]]</f>
        <v>600</v>
      </c>
      <c r="BU125" s="205">
        <f ca="1">TblImps[[#This Row],[Time]]</f>
        <v>44409.791666666373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402</v>
      </c>
      <c r="DA125" s="113">
        <f t="shared" ca="1" si="31"/>
        <v>20</v>
      </c>
      <c r="DB125" s="49">
        <f t="shared" ca="1" si="32"/>
        <v>30</v>
      </c>
      <c r="DC125" s="113">
        <f t="shared" ca="1" si="33"/>
        <v>45</v>
      </c>
      <c r="DD125" s="113">
        <f t="shared" ca="1" si="34"/>
        <v>35</v>
      </c>
      <c r="DE125" s="49">
        <f t="shared" ca="1" si="35"/>
        <v>0</v>
      </c>
      <c r="DF125" s="113">
        <f t="shared" ca="1" si="36"/>
        <v>20</v>
      </c>
      <c r="DG125" s="113" cm="1">
        <f t="array" aca="1" ref="DG125" ca="1">INDEX(TblConstr[[Total Plain]:[Total Water]],ROW()-ROW(TblConstr[#Headers]),MATCH("Total "&amp;home_land,TblConstr[[#Headers],[Total Plain]:[Total Water]],0))+TblConstr[[#This Row],[Homes]]</f>
        <v>450</v>
      </c>
      <c r="DH125" s="49">
        <f t="shared" ca="1" si="22"/>
        <v>48</v>
      </c>
      <c r="DI125" s="49">
        <f t="shared" ca="1" si="19"/>
        <v>0</v>
      </c>
      <c r="DJ125" s="49">
        <f t="shared" ca="1" si="20"/>
        <v>0</v>
      </c>
    </row>
    <row r="126" spans="1:114" x14ac:dyDescent="0.2">
      <c r="A126" s="228">
        <f>TblRezone[[#This Row],[Hour]]</f>
        <v>123</v>
      </c>
      <c r="B126" s="229">
        <f ca="1">SUM(TblConstr[[#This Row],[Plain]:[Water]])</f>
        <v>0</v>
      </c>
      <c r="C126" s="230">
        <f ca="1">SUM(TblConstr[[#This Row],[Tot Hom]:[Tot Doc]])</f>
        <v>600</v>
      </c>
      <c r="D126" s="230">
        <f t="shared" si="21"/>
        <v>0</v>
      </c>
      <c r="E126" s="231"/>
      <c r="F126" s="74">
        <f ca="1">TblConstr[[#This Row],[Barren]]+TblConstr[[#This Row],[Buildings]]+TblConstr[[#This Row],[Incoming]]</f>
        <v>600</v>
      </c>
      <c r="G126" s="242">
        <f ca="1">OFFSET(TblConstr[[#This Row],[Plain]],-1,0)+TblConstr[[#This Row],[Ch_Plain]]</f>
        <v>0</v>
      </c>
      <c r="H126" s="236">
        <f ca="1">OFFSET(TblConstr[[#This Row],[Forest]],-1,0)+TblConstr[[#This Row],[Ch_Forest]]</f>
        <v>0</v>
      </c>
      <c r="I126" s="478">
        <f ca="1">OFFSET(TblConstr[[#This Row],[Mountain]],-1,0)+TblConstr[[#This Row],[Ch_Mountain]]</f>
        <v>0</v>
      </c>
      <c r="J126" s="482">
        <f ca="1">OFFSET(TblConstr[[#This Row],[Hill]],-1,0)+TblConstr[[#This Row],[Ch_Hill]]</f>
        <v>0</v>
      </c>
      <c r="K126" s="486">
        <f ca="1">OFFSET(TblConstr[[#This Row],[Swamp]],-1,0)+TblConstr[[#This Row],[Ch_Swamp]]</f>
        <v>0</v>
      </c>
      <c r="L126" s="239">
        <f ca="1">OFFSET(TblConstr[[#This Row],[Cavern]],-1,0)+TblConstr[[#This Row],[Ch_Cavern]]</f>
        <v>0</v>
      </c>
      <c r="M126" s="240">
        <f ca="1">OFFSET(TblConstr[[#This Row],[Water]],-1,0)+TblConstr[[#This Row],[Ch_Water]]</f>
        <v>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44409.833333333037</v>
      </c>
      <c r="AI126" s="234">
        <f ca="1">MIN(25%,(TblConstr[[#This Row],[Tot Fac]]+TblConstr[[#This Row],[Dest Fac]])/(TblConstr[[#This Row],[Land]]-TblExplore[[#This Row],[Land Bonus]]*20))</f>
        <v>7.4999999999999997E-2</v>
      </c>
      <c r="AJ126" s="234">
        <f ca="1">MIN(25%,(TblConstr[[#This Row],[Tot Fac]]+TblConstr[[#This Row],[Dest Fac]])/TblConstr[[#This Row],[Land]])</f>
        <v>7.4999999999999997E-2</v>
      </c>
      <c r="AK126" s="113">
        <f ca="1">TblProd[[#This Row],[Platinum]]</f>
        <v>1718712</v>
      </c>
      <c r="AL126" s="113">
        <f ca="1">TblProd[[#This Row],[Lumber]]</f>
        <v>60276</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6" s="113">
        <f ca="1">ROUNDDOWN( MAX(1 - MIN(facs_constr_factor*TblConstr[[#This Row],[Facs -DB]],facs_constr_max) + tech_1_11*TblTech[[#This Row],[11-1]] + tech_6_3_2*TblTech[[#This Row],[6-3]] + tech_5_2_3*TblTech[[#This Row],[5-2]], 1-global_constr_cap) * TblConstr[[#This Row],[RCPA Lumber]],0)</f>
        <v>147</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6" s="113">
        <f ca="1">ROUNDDOWN( MAX(1 - MIN(facs_constr_factor*TblConstr[[#This Row],[Facs DB]],facs_constr_max) + tech_1_11*TblTech[[#This Row],[1-11]] + tech_6_3_2*TblTech[[#This Row],[6-3]] + tech_5_2_3*TblTech[[#This Row],[5-2]], 1-global_constr_cap) * TblConstr[[#This Row],[RCPA Lumber]],0)</f>
        <v>147</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1386</v>
      </c>
      <c r="AW126" s="113">
        <f ca="1">ROUND((MAX(TblConstr[[#This Row],[Buildings]],250,0.75*TblConstr[[#This Row],[Land]])-250) * 0.35+87.5,0)</f>
        <v>210</v>
      </c>
      <c r="AX126" s="200"/>
      <c r="AY126" s="243" cm="1">
        <f t="array" aca="1" ref="AY126" ca="1">IF(TblConstr[[#This Row],[Hour]:[Hour]]&gt;12,OFFSET(TblConstr[[#This Row],[Hom]],-12,0),0)+OFFSET(TblConstr[[#This Row],[Tot Hom]],-1,0)-TblConstr[[#This Row],[Dest Hom]]</f>
        <v>48</v>
      </c>
      <c r="AZ126" s="244" cm="1">
        <f t="array" aca="1" ref="AZ126" ca="1">IF(TblConstr[[#This Row],[Hour]:[Hour]]&gt;12,OFFSET(TblConstr[[#This Row],[Alc]],-12,0),0)+OFFSET(TblConstr[[#This Row],[Tot Alc]],-1,0)-TblConstr[[#This Row],[Dest Alc]]</f>
        <v>264</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108</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30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45</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15</v>
      </c>
      <c r="BM126" s="488" cm="1">
        <f t="array" aca="1" ref="BM126" ca="1">IF(TblConstr[[#This Row],[Hour]:[Hour]]&gt;12,OFFSET(TblConstr[[#This Row],[Tem]],-12,0),0)+OFFSET(TblConstr[[#This Row],[Tot Tem]],-1,0)-TblConstr[[#This Row],[Dest Tem]]</f>
        <v>20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20</v>
      </c>
      <c r="BR126" s="184"/>
      <c r="BS126" s="200"/>
      <c r="BT126" s="113">
        <f ca="1">TblConstr[[#This Row],[Land]]</f>
        <v>600</v>
      </c>
      <c r="BU126" s="205">
        <f ca="1">TblImps[[#This Row],[Time]]</f>
        <v>44409.833333333037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402</v>
      </c>
      <c r="DA126" s="113">
        <f t="shared" ca="1" si="31"/>
        <v>20</v>
      </c>
      <c r="DB126" s="49">
        <f t="shared" ca="1" si="32"/>
        <v>30</v>
      </c>
      <c r="DC126" s="113">
        <f t="shared" ca="1" si="33"/>
        <v>45</v>
      </c>
      <c r="DD126" s="113">
        <f t="shared" ca="1" si="34"/>
        <v>35</v>
      </c>
      <c r="DE126" s="49">
        <f t="shared" ca="1" si="35"/>
        <v>0</v>
      </c>
      <c r="DF126" s="113">
        <f t="shared" ca="1" si="36"/>
        <v>20</v>
      </c>
      <c r="DG126" s="113" cm="1">
        <f t="array" aca="1" ref="DG126" ca="1">INDEX(TblConstr[[Total Plain]:[Total Water]],ROW()-ROW(TblConstr[#Headers]),MATCH("Total "&amp;home_land,TblConstr[[#Headers],[Total Plain]:[Total Water]],0))+TblConstr[[#This Row],[Homes]]</f>
        <v>450</v>
      </c>
      <c r="DH126" s="49">
        <f t="shared" ca="1" si="22"/>
        <v>48</v>
      </c>
      <c r="DI126" s="49">
        <f t="shared" ca="1" si="19"/>
        <v>0</v>
      </c>
      <c r="DJ126" s="49">
        <f t="shared" ca="1" si="20"/>
        <v>0</v>
      </c>
    </row>
    <row r="127" spans="1:114" x14ac:dyDescent="0.2">
      <c r="A127" s="228">
        <f>TblRezone[[#This Row],[Hour]]</f>
        <v>124</v>
      </c>
      <c r="B127" s="229">
        <f ca="1">SUM(TblConstr[[#This Row],[Plain]:[Water]])</f>
        <v>0</v>
      </c>
      <c r="C127" s="230">
        <f ca="1">SUM(TblConstr[[#This Row],[Tot Hom]:[Tot Doc]])</f>
        <v>600</v>
      </c>
      <c r="D127" s="230">
        <f t="shared" si="21"/>
        <v>0</v>
      </c>
      <c r="E127" s="231"/>
      <c r="F127" s="74">
        <f ca="1">TblConstr[[#This Row],[Barren]]+TblConstr[[#This Row],[Buildings]]+TblConstr[[#This Row],[Incoming]]</f>
        <v>600</v>
      </c>
      <c r="G127" s="242">
        <f ca="1">OFFSET(TblConstr[[#This Row],[Plain]],-1,0)+TblConstr[[#This Row],[Ch_Plain]]</f>
        <v>0</v>
      </c>
      <c r="H127" s="236">
        <f ca="1">OFFSET(TblConstr[[#This Row],[Forest]],-1,0)+TblConstr[[#This Row],[Ch_Forest]]</f>
        <v>0</v>
      </c>
      <c r="I127" s="478">
        <f ca="1">OFFSET(TblConstr[[#This Row],[Mountain]],-1,0)+TblConstr[[#This Row],[Ch_Mountain]]</f>
        <v>0</v>
      </c>
      <c r="J127" s="482">
        <f ca="1">OFFSET(TblConstr[[#This Row],[Hill]],-1,0)+TblConstr[[#This Row],[Ch_Hill]]</f>
        <v>0</v>
      </c>
      <c r="K127" s="486">
        <f ca="1">OFFSET(TblConstr[[#This Row],[Swamp]],-1,0)+TblConstr[[#This Row],[Ch_Swamp]]</f>
        <v>0</v>
      </c>
      <c r="L127" s="239">
        <f ca="1">OFFSET(TblConstr[[#This Row],[Cavern]],-1,0)+TblConstr[[#This Row],[Ch_Cavern]]</f>
        <v>0</v>
      </c>
      <c r="M127" s="240">
        <f ca="1">OFFSET(TblConstr[[#This Row],[Water]],-1,0)+TblConstr[[#This Row],[Ch_Water]]</f>
        <v>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44409.874999999702</v>
      </c>
      <c r="AI127" s="234">
        <f ca="1">MIN(25%,(TblConstr[[#This Row],[Tot Fac]]+TblConstr[[#This Row],[Dest Fac]])/(TblConstr[[#This Row],[Land]]-TblExplore[[#This Row],[Land Bonus]]*20))</f>
        <v>7.4999999999999997E-2</v>
      </c>
      <c r="AJ127" s="234">
        <f ca="1">MIN(25%,(TblConstr[[#This Row],[Tot Fac]]+TblConstr[[#This Row],[Dest Fac]])/TblConstr[[#This Row],[Land]])</f>
        <v>7.4999999999999997E-2</v>
      </c>
      <c r="AK127" s="113">
        <f ca="1">TblProd[[#This Row],[Platinum]]</f>
        <v>1742652</v>
      </c>
      <c r="AL127" s="113">
        <f ca="1">TblProd[[#This Row],[Lumber]]</f>
        <v>60673</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7" s="113">
        <f ca="1">ROUNDDOWN( MAX(1 - MIN(facs_constr_factor*TblConstr[[#This Row],[Facs -DB]],facs_constr_max) + tech_1_11*TblTech[[#This Row],[11-1]] + tech_6_3_2*TblTech[[#This Row],[6-3]] + tech_5_2_3*TblTech[[#This Row],[5-2]], 1-global_constr_cap) * TblConstr[[#This Row],[RCPA Lumber]],0)</f>
        <v>147</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7" s="113">
        <f ca="1">ROUNDDOWN( MAX(1 - MIN(facs_constr_factor*TblConstr[[#This Row],[Facs DB]],facs_constr_max) + tech_1_11*TblTech[[#This Row],[1-11]] + tech_6_3_2*TblTech[[#This Row],[6-3]] + tech_5_2_3*TblTech[[#This Row],[5-2]], 1-global_constr_cap) * TblConstr[[#This Row],[RCPA Lumber]],0)</f>
        <v>147</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1386</v>
      </c>
      <c r="AW127" s="113">
        <f ca="1">ROUND((MAX(TblConstr[[#This Row],[Buildings]],250,0.75*TblConstr[[#This Row],[Land]])-250) * 0.35+87.5,0)</f>
        <v>210</v>
      </c>
      <c r="AX127" s="200"/>
      <c r="AY127" s="243" cm="1">
        <f t="array" aca="1" ref="AY127" ca="1">IF(TblConstr[[#This Row],[Hour]:[Hour]]&gt;12,OFFSET(TblConstr[[#This Row],[Hom]],-12,0),0)+OFFSET(TblConstr[[#This Row],[Tot Hom]],-1,0)-TblConstr[[#This Row],[Dest Hom]]</f>
        <v>48</v>
      </c>
      <c r="AZ127" s="244" cm="1">
        <f t="array" aca="1" ref="AZ127" ca="1">IF(TblConstr[[#This Row],[Hour]:[Hour]]&gt;12,OFFSET(TblConstr[[#This Row],[Alc]],-12,0),0)+OFFSET(TblConstr[[#This Row],[Tot Alc]],-1,0)-TblConstr[[#This Row],[Dest Alc]]</f>
        <v>264</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108</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30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45</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15</v>
      </c>
      <c r="BM127" s="488" cm="1">
        <f t="array" aca="1" ref="BM127" ca="1">IF(TblConstr[[#This Row],[Hour]:[Hour]]&gt;12,OFFSET(TblConstr[[#This Row],[Tem]],-12,0),0)+OFFSET(TblConstr[[#This Row],[Tot Tem]],-1,0)-TblConstr[[#This Row],[Dest Tem]]</f>
        <v>20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20</v>
      </c>
      <c r="BR127" s="184"/>
      <c r="BS127" s="200"/>
      <c r="BT127" s="113">
        <f ca="1">TblConstr[[#This Row],[Land]]</f>
        <v>600</v>
      </c>
      <c r="BU127" s="205">
        <f ca="1">TblImps[[#This Row],[Time]]</f>
        <v>44409.874999999702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402</v>
      </c>
      <c r="DA127" s="113">
        <f t="shared" ca="1" si="31"/>
        <v>20</v>
      </c>
      <c r="DB127" s="49">
        <f t="shared" ca="1" si="32"/>
        <v>30</v>
      </c>
      <c r="DC127" s="113">
        <f t="shared" ca="1" si="33"/>
        <v>45</v>
      </c>
      <c r="DD127" s="113">
        <f t="shared" ca="1" si="34"/>
        <v>35</v>
      </c>
      <c r="DE127" s="49">
        <f t="shared" ca="1" si="35"/>
        <v>0</v>
      </c>
      <c r="DF127" s="113">
        <f t="shared" ca="1" si="36"/>
        <v>20</v>
      </c>
      <c r="DG127" s="113" cm="1">
        <f t="array" aca="1" ref="DG127" ca="1">INDEX(TblConstr[[Total Plain]:[Total Water]],ROW()-ROW(TblConstr[#Headers]),MATCH("Total "&amp;home_land,TblConstr[[#Headers],[Total Plain]:[Total Water]],0))+TblConstr[[#This Row],[Homes]]</f>
        <v>450</v>
      </c>
      <c r="DH127" s="49">
        <f t="shared" ca="1" si="22"/>
        <v>48</v>
      </c>
      <c r="DI127" s="49">
        <f t="shared" ca="1" si="19"/>
        <v>0</v>
      </c>
      <c r="DJ127" s="49">
        <f t="shared" ca="1" si="20"/>
        <v>0</v>
      </c>
    </row>
    <row r="128" spans="1:114" x14ac:dyDescent="0.2">
      <c r="A128" s="228">
        <f>TblRezone[[#This Row],[Hour]]</f>
        <v>125</v>
      </c>
      <c r="B128" s="229">
        <f ca="1">SUM(TblConstr[[#This Row],[Plain]:[Water]])</f>
        <v>0</v>
      </c>
      <c r="C128" s="230">
        <f ca="1">SUM(TblConstr[[#This Row],[Tot Hom]:[Tot Doc]])</f>
        <v>600</v>
      </c>
      <c r="D128" s="230">
        <f t="shared" si="21"/>
        <v>0</v>
      </c>
      <c r="E128" s="231"/>
      <c r="F128" s="74">
        <f ca="1">TblConstr[[#This Row],[Barren]]+TblConstr[[#This Row],[Buildings]]+TblConstr[[#This Row],[Incoming]]</f>
        <v>600</v>
      </c>
      <c r="G128" s="242">
        <f ca="1">OFFSET(TblConstr[[#This Row],[Plain]],-1,0)+TblConstr[[#This Row],[Ch_Plain]]</f>
        <v>0</v>
      </c>
      <c r="H128" s="236">
        <f ca="1">OFFSET(TblConstr[[#This Row],[Forest]],-1,0)+TblConstr[[#This Row],[Ch_Forest]]</f>
        <v>0</v>
      </c>
      <c r="I128" s="478">
        <f ca="1">OFFSET(TblConstr[[#This Row],[Mountain]],-1,0)+TblConstr[[#This Row],[Ch_Mountain]]</f>
        <v>0</v>
      </c>
      <c r="J128" s="482">
        <f ca="1">OFFSET(TblConstr[[#This Row],[Hill]],-1,0)+TblConstr[[#This Row],[Ch_Hill]]</f>
        <v>0</v>
      </c>
      <c r="K128" s="486">
        <f ca="1">OFFSET(TblConstr[[#This Row],[Swamp]],-1,0)+TblConstr[[#This Row],[Ch_Swamp]]</f>
        <v>0</v>
      </c>
      <c r="L128" s="239">
        <f ca="1">OFFSET(TblConstr[[#This Row],[Cavern]],-1,0)+TblConstr[[#This Row],[Ch_Cavern]]</f>
        <v>0</v>
      </c>
      <c r="M128" s="240">
        <f ca="1">OFFSET(TblConstr[[#This Row],[Water]],-1,0)+TblConstr[[#This Row],[Ch_Water]]</f>
        <v>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44409.916666666366</v>
      </c>
      <c r="AI128" s="234">
        <f ca="1">MIN(25%,(TblConstr[[#This Row],[Tot Fac]]+TblConstr[[#This Row],[Dest Fac]])/(TblConstr[[#This Row],[Land]]-TblExplore[[#This Row],[Land Bonus]]*20))</f>
        <v>7.4999999999999997E-2</v>
      </c>
      <c r="AJ128" s="234">
        <f ca="1">MIN(25%,(TblConstr[[#This Row],[Tot Fac]]+TblConstr[[#This Row],[Dest Fac]])/TblConstr[[#This Row],[Land]])</f>
        <v>7.4999999999999997E-2</v>
      </c>
      <c r="AK128" s="113">
        <f ca="1">TblProd[[#This Row],[Platinum]]</f>
        <v>1766471</v>
      </c>
      <c r="AL128" s="113">
        <f ca="1">TblProd[[#This Row],[Lumber]]</f>
        <v>61066</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8" s="113">
        <f ca="1">ROUNDDOWN( MAX(1 - MIN(facs_constr_factor*TblConstr[[#This Row],[Facs -DB]],facs_constr_max) + tech_1_11*TblTech[[#This Row],[11-1]] + tech_6_3_2*TblTech[[#This Row],[6-3]] + tech_5_2_3*TblTech[[#This Row],[5-2]], 1-global_constr_cap) * TblConstr[[#This Row],[RCPA Lumber]],0)</f>
        <v>147</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8" s="113">
        <f ca="1">ROUNDDOWN( MAX(1 - MIN(facs_constr_factor*TblConstr[[#This Row],[Facs DB]],facs_constr_max) + tech_1_11*TblTech[[#This Row],[1-11]] + tech_6_3_2*TblTech[[#This Row],[6-3]] + tech_5_2_3*TblTech[[#This Row],[5-2]], 1-global_constr_cap) * TblConstr[[#This Row],[RCPA Lumber]],0)</f>
        <v>147</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1386</v>
      </c>
      <c r="AW128" s="113">
        <f ca="1">ROUND((MAX(TblConstr[[#This Row],[Buildings]],250,0.75*TblConstr[[#This Row],[Land]])-250) * 0.35+87.5,0)</f>
        <v>210</v>
      </c>
      <c r="AX128" s="200"/>
      <c r="AY128" s="243" cm="1">
        <f t="array" aca="1" ref="AY128" ca="1">IF(TblConstr[[#This Row],[Hour]:[Hour]]&gt;12,OFFSET(TblConstr[[#This Row],[Hom]],-12,0),0)+OFFSET(TblConstr[[#This Row],[Tot Hom]],-1,0)-TblConstr[[#This Row],[Dest Hom]]</f>
        <v>48</v>
      </c>
      <c r="AZ128" s="244" cm="1">
        <f t="array" aca="1" ref="AZ128" ca="1">IF(TblConstr[[#This Row],[Hour]:[Hour]]&gt;12,OFFSET(TblConstr[[#This Row],[Alc]],-12,0),0)+OFFSET(TblConstr[[#This Row],[Tot Alc]],-1,0)-TblConstr[[#This Row],[Dest Alc]]</f>
        <v>264</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108</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30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45</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15</v>
      </c>
      <c r="BM128" s="488" cm="1">
        <f t="array" aca="1" ref="BM128" ca="1">IF(TblConstr[[#This Row],[Hour]:[Hour]]&gt;12,OFFSET(TblConstr[[#This Row],[Tem]],-12,0),0)+OFFSET(TblConstr[[#This Row],[Tot Tem]],-1,0)-TblConstr[[#This Row],[Dest Tem]]</f>
        <v>20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20</v>
      </c>
      <c r="BR128" s="184"/>
      <c r="BS128" s="200"/>
      <c r="BT128" s="113">
        <f ca="1">TblConstr[[#This Row],[Land]]</f>
        <v>600</v>
      </c>
      <c r="BU128" s="205">
        <f ca="1">TblImps[[#This Row],[Time]]</f>
        <v>44409.916666666366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402</v>
      </c>
      <c r="DA128" s="113">
        <f t="shared" ca="1" si="31"/>
        <v>20</v>
      </c>
      <c r="DB128" s="49">
        <f t="shared" ca="1" si="32"/>
        <v>30</v>
      </c>
      <c r="DC128" s="113">
        <f t="shared" ca="1" si="33"/>
        <v>45</v>
      </c>
      <c r="DD128" s="113">
        <f t="shared" ca="1" si="34"/>
        <v>35</v>
      </c>
      <c r="DE128" s="49">
        <f t="shared" ca="1" si="35"/>
        <v>0</v>
      </c>
      <c r="DF128" s="113">
        <f t="shared" ca="1" si="36"/>
        <v>20</v>
      </c>
      <c r="DG128" s="113" cm="1">
        <f t="array" aca="1" ref="DG128" ca="1">INDEX(TblConstr[[Total Plain]:[Total Water]],ROW()-ROW(TblConstr[#Headers]),MATCH("Total "&amp;home_land,TblConstr[[#Headers],[Total Plain]:[Total Water]],0))+TblConstr[[#This Row],[Homes]]</f>
        <v>450</v>
      </c>
      <c r="DH128" s="49">
        <f t="shared" ca="1" si="22"/>
        <v>48</v>
      </c>
      <c r="DI128" s="49">
        <f t="shared" ca="1" si="19"/>
        <v>0</v>
      </c>
      <c r="DJ128" s="49">
        <f t="shared" ca="1" si="20"/>
        <v>0</v>
      </c>
    </row>
    <row r="129" spans="1:114" x14ac:dyDescent="0.2">
      <c r="A129" s="228">
        <f>TblRezone[[#This Row],[Hour]]</f>
        <v>126</v>
      </c>
      <c r="B129" s="229">
        <f ca="1">SUM(TblConstr[[#This Row],[Plain]:[Water]])</f>
        <v>0</v>
      </c>
      <c r="C129" s="230">
        <f ca="1">SUM(TblConstr[[#This Row],[Tot Hom]:[Tot Doc]])</f>
        <v>600</v>
      </c>
      <c r="D129" s="230">
        <f t="shared" si="21"/>
        <v>0</v>
      </c>
      <c r="E129" s="231"/>
      <c r="F129" s="74">
        <f ca="1">TblConstr[[#This Row],[Barren]]+TblConstr[[#This Row],[Buildings]]+TblConstr[[#This Row],[Incoming]]</f>
        <v>600</v>
      </c>
      <c r="G129" s="242">
        <f ca="1">OFFSET(TblConstr[[#This Row],[Plain]],-1,0)+TblConstr[[#This Row],[Ch_Plain]]</f>
        <v>0</v>
      </c>
      <c r="H129" s="236">
        <f ca="1">OFFSET(TblConstr[[#This Row],[Forest]],-1,0)+TblConstr[[#This Row],[Ch_Forest]]</f>
        <v>0</v>
      </c>
      <c r="I129" s="478">
        <f ca="1">OFFSET(TblConstr[[#This Row],[Mountain]],-1,0)+TblConstr[[#This Row],[Ch_Mountain]]</f>
        <v>0</v>
      </c>
      <c r="J129" s="482">
        <f ca="1">OFFSET(TblConstr[[#This Row],[Hill]],-1,0)+TblConstr[[#This Row],[Ch_Hill]]</f>
        <v>0</v>
      </c>
      <c r="K129" s="486">
        <f ca="1">OFFSET(TblConstr[[#This Row],[Swamp]],-1,0)+TblConstr[[#This Row],[Ch_Swamp]]</f>
        <v>0</v>
      </c>
      <c r="L129" s="239">
        <f ca="1">OFFSET(TblConstr[[#This Row],[Cavern]],-1,0)+TblConstr[[#This Row],[Ch_Cavern]]</f>
        <v>0</v>
      </c>
      <c r="M129" s="240">
        <f ca="1">OFFSET(TblConstr[[#This Row],[Water]],-1,0)+TblConstr[[#This Row],[Ch_Water]]</f>
        <v>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44409.95833333303</v>
      </c>
      <c r="AI129" s="234">
        <f ca="1">MIN(25%,(TblConstr[[#This Row],[Tot Fac]]+TblConstr[[#This Row],[Dest Fac]])/(TblConstr[[#This Row],[Land]]-TblExplore[[#This Row],[Land Bonus]]*20))</f>
        <v>7.4999999999999997E-2</v>
      </c>
      <c r="AJ129" s="234">
        <f ca="1">MIN(25%,(TblConstr[[#This Row],[Tot Fac]]+TblConstr[[#This Row],[Dest Fac]])/TblConstr[[#This Row],[Land]])</f>
        <v>7.4999999999999997E-2</v>
      </c>
      <c r="AK129" s="113">
        <f ca="1">TblProd[[#This Row],[Platinum]]</f>
        <v>1790171</v>
      </c>
      <c r="AL129" s="113">
        <f ca="1">TblProd[[#This Row],[Lumber]]</f>
        <v>61455</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9" s="113">
        <f ca="1">ROUNDDOWN( MAX(1 - MIN(facs_constr_factor*TblConstr[[#This Row],[Facs -DB]],facs_constr_max) + tech_1_11*TblTech[[#This Row],[11-1]] + tech_6_3_2*TblTech[[#This Row],[6-3]] + tech_5_2_3*TblTech[[#This Row],[5-2]], 1-global_constr_cap) * TblConstr[[#This Row],[RCPA Lumber]],0)</f>
        <v>147</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9" s="113">
        <f ca="1">ROUNDDOWN( MAX(1 - MIN(facs_constr_factor*TblConstr[[#This Row],[Facs DB]],facs_constr_max) + tech_1_11*TblTech[[#This Row],[1-11]] + tech_6_3_2*TblTech[[#This Row],[6-3]] + tech_5_2_3*TblTech[[#This Row],[5-2]], 1-global_constr_cap) * TblConstr[[#This Row],[RCPA Lumber]],0)</f>
        <v>147</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1386</v>
      </c>
      <c r="AW129" s="113">
        <f ca="1">ROUND((MAX(TblConstr[[#This Row],[Buildings]],250,0.75*TblConstr[[#This Row],[Land]])-250) * 0.35+87.5,0)</f>
        <v>210</v>
      </c>
      <c r="AX129" s="200"/>
      <c r="AY129" s="243" cm="1">
        <f t="array" aca="1" ref="AY129" ca="1">IF(TblConstr[[#This Row],[Hour]:[Hour]]&gt;12,OFFSET(TblConstr[[#This Row],[Hom]],-12,0),0)+OFFSET(TblConstr[[#This Row],[Tot Hom]],-1,0)-TblConstr[[#This Row],[Dest Hom]]</f>
        <v>48</v>
      </c>
      <c r="AZ129" s="244" cm="1">
        <f t="array" aca="1" ref="AZ129" ca="1">IF(TblConstr[[#This Row],[Hour]:[Hour]]&gt;12,OFFSET(TblConstr[[#This Row],[Alc]],-12,0),0)+OFFSET(TblConstr[[#This Row],[Tot Alc]],-1,0)-TblConstr[[#This Row],[Dest Alc]]</f>
        <v>264</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108</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30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45</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15</v>
      </c>
      <c r="BM129" s="488" cm="1">
        <f t="array" aca="1" ref="BM129" ca="1">IF(TblConstr[[#This Row],[Hour]:[Hour]]&gt;12,OFFSET(TblConstr[[#This Row],[Tem]],-12,0),0)+OFFSET(TblConstr[[#This Row],[Tot Tem]],-1,0)-TblConstr[[#This Row],[Dest Tem]]</f>
        <v>20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20</v>
      </c>
      <c r="BR129" s="184"/>
      <c r="BS129" s="200"/>
      <c r="BT129" s="113">
        <f ca="1">TblConstr[[#This Row],[Land]]</f>
        <v>600</v>
      </c>
      <c r="BU129" s="205">
        <f ca="1">TblImps[[#This Row],[Time]]</f>
        <v>44409.95833333303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402</v>
      </c>
      <c r="DA129" s="113">
        <f t="shared" ca="1" si="31"/>
        <v>20</v>
      </c>
      <c r="DB129" s="49">
        <f t="shared" ca="1" si="32"/>
        <v>30</v>
      </c>
      <c r="DC129" s="113">
        <f t="shared" ca="1" si="33"/>
        <v>45</v>
      </c>
      <c r="DD129" s="113">
        <f t="shared" ca="1" si="34"/>
        <v>35</v>
      </c>
      <c r="DE129" s="49">
        <f t="shared" ca="1" si="35"/>
        <v>0</v>
      </c>
      <c r="DF129" s="113">
        <f t="shared" ca="1" si="36"/>
        <v>20</v>
      </c>
      <c r="DG129" s="113" cm="1">
        <f t="array" aca="1" ref="DG129" ca="1">INDEX(TblConstr[[Total Plain]:[Total Water]],ROW()-ROW(TblConstr[#Headers]),MATCH("Total "&amp;home_land,TblConstr[[#Headers],[Total Plain]:[Total Water]],0))+TblConstr[[#This Row],[Homes]]</f>
        <v>450</v>
      </c>
      <c r="DH129" s="49">
        <f t="shared" ca="1" si="22"/>
        <v>48</v>
      </c>
      <c r="DI129" s="49">
        <f t="shared" ca="1" si="19"/>
        <v>0</v>
      </c>
      <c r="DJ129" s="49">
        <f t="shared" ca="1" si="20"/>
        <v>0</v>
      </c>
    </row>
    <row r="130" spans="1:114" x14ac:dyDescent="0.2">
      <c r="A130" s="228">
        <f>TblRezone[[#This Row],[Hour]]</f>
        <v>127</v>
      </c>
      <c r="B130" s="229">
        <f ca="1">SUM(TblConstr[[#This Row],[Plain]:[Water]])</f>
        <v>0</v>
      </c>
      <c r="C130" s="230">
        <f ca="1">SUM(TblConstr[[#This Row],[Tot Hom]:[Tot Doc]])</f>
        <v>600</v>
      </c>
      <c r="D130" s="230">
        <f t="shared" si="21"/>
        <v>0</v>
      </c>
      <c r="E130" s="231"/>
      <c r="F130" s="74">
        <f ca="1">TblConstr[[#This Row],[Barren]]+TblConstr[[#This Row],[Buildings]]+TblConstr[[#This Row],[Incoming]]</f>
        <v>600</v>
      </c>
      <c r="G130" s="242">
        <f ca="1">OFFSET(TblConstr[[#This Row],[Plain]],-1,0)+TblConstr[[#This Row],[Ch_Plain]]</f>
        <v>0</v>
      </c>
      <c r="H130" s="236">
        <f ca="1">OFFSET(TblConstr[[#This Row],[Forest]],-1,0)+TblConstr[[#This Row],[Ch_Forest]]</f>
        <v>0</v>
      </c>
      <c r="I130" s="478">
        <f ca="1">OFFSET(TblConstr[[#This Row],[Mountain]],-1,0)+TblConstr[[#This Row],[Ch_Mountain]]</f>
        <v>0</v>
      </c>
      <c r="J130" s="482">
        <f ca="1">OFFSET(TblConstr[[#This Row],[Hill]],-1,0)+TblConstr[[#This Row],[Ch_Hill]]</f>
        <v>0</v>
      </c>
      <c r="K130" s="486">
        <f ca="1">OFFSET(TblConstr[[#This Row],[Swamp]],-1,0)+TblConstr[[#This Row],[Ch_Swamp]]</f>
        <v>0</v>
      </c>
      <c r="L130" s="239">
        <f ca="1">OFFSET(TblConstr[[#This Row],[Cavern]],-1,0)+TblConstr[[#This Row],[Ch_Cavern]]</f>
        <v>0</v>
      </c>
      <c r="M130" s="240">
        <f ca="1">OFFSET(TblConstr[[#This Row],[Water]],-1,0)+TblConstr[[#This Row],[Ch_Water]]</f>
        <v>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44409.999999999694</v>
      </c>
      <c r="AI130" s="234">
        <f ca="1">MIN(25%,(TblConstr[[#This Row],[Tot Fac]]+TblConstr[[#This Row],[Dest Fac]])/(TblConstr[[#This Row],[Land]]-TblExplore[[#This Row],[Land Bonus]]*20))</f>
        <v>7.4999999999999997E-2</v>
      </c>
      <c r="AJ130" s="234">
        <f ca="1">MIN(25%,(TblConstr[[#This Row],[Tot Fac]]+TblConstr[[#This Row],[Dest Fac]])/TblConstr[[#This Row],[Land]])</f>
        <v>7.4999999999999997E-2</v>
      </c>
      <c r="AK130" s="113">
        <f ca="1">TblProd[[#This Row],[Platinum]]</f>
        <v>1813752</v>
      </c>
      <c r="AL130" s="113">
        <f ca="1">TblProd[[#This Row],[Lumber]]</f>
        <v>61840</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0" s="113">
        <f ca="1">ROUNDDOWN( MAX(1 - MIN(facs_constr_factor*TblConstr[[#This Row],[Facs -DB]],facs_constr_max) + tech_1_11*TblTech[[#This Row],[11-1]] + tech_6_3_2*TblTech[[#This Row],[6-3]] + tech_5_2_3*TblTech[[#This Row],[5-2]], 1-global_constr_cap) * TblConstr[[#This Row],[RCPA Lumber]],0)</f>
        <v>147</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0" s="113">
        <f ca="1">ROUNDDOWN( MAX(1 - MIN(facs_constr_factor*TblConstr[[#This Row],[Facs DB]],facs_constr_max) + tech_1_11*TblTech[[#This Row],[1-11]] + tech_6_3_2*TblTech[[#This Row],[6-3]] + tech_5_2_3*TblTech[[#This Row],[5-2]], 1-global_constr_cap) * TblConstr[[#This Row],[RCPA Lumber]],0)</f>
        <v>147</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1386</v>
      </c>
      <c r="AW130" s="113">
        <f ca="1">ROUND((MAX(TblConstr[[#This Row],[Buildings]],250,0.75*TblConstr[[#This Row],[Land]])-250) * 0.35+87.5,0)</f>
        <v>210</v>
      </c>
      <c r="AX130" s="200"/>
      <c r="AY130" s="243" cm="1">
        <f t="array" aca="1" ref="AY130" ca="1">IF(TblConstr[[#This Row],[Hour]:[Hour]]&gt;12,OFFSET(TblConstr[[#This Row],[Hom]],-12,0),0)+OFFSET(TblConstr[[#This Row],[Tot Hom]],-1,0)-TblConstr[[#This Row],[Dest Hom]]</f>
        <v>48</v>
      </c>
      <c r="AZ130" s="244" cm="1">
        <f t="array" aca="1" ref="AZ130" ca="1">IF(TblConstr[[#This Row],[Hour]:[Hour]]&gt;12,OFFSET(TblConstr[[#This Row],[Alc]],-12,0),0)+OFFSET(TblConstr[[#This Row],[Tot Alc]],-1,0)-TblConstr[[#This Row],[Dest Alc]]</f>
        <v>264</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108</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30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45</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15</v>
      </c>
      <c r="BM130" s="488" cm="1">
        <f t="array" aca="1" ref="BM130" ca="1">IF(TblConstr[[#This Row],[Hour]:[Hour]]&gt;12,OFFSET(TblConstr[[#This Row],[Tem]],-12,0),0)+OFFSET(TblConstr[[#This Row],[Tot Tem]],-1,0)-TblConstr[[#This Row],[Dest Tem]]</f>
        <v>20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20</v>
      </c>
      <c r="BR130" s="184"/>
      <c r="BS130" s="200"/>
      <c r="BT130" s="113">
        <f ca="1">TblConstr[[#This Row],[Land]]</f>
        <v>600</v>
      </c>
      <c r="BU130" s="205">
        <f ca="1">TblImps[[#This Row],[Time]]</f>
        <v>44409.999999999694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402</v>
      </c>
      <c r="DA130" s="113">
        <f t="shared" ca="1" si="31"/>
        <v>20</v>
      </c>
      <c r="DB130" s="49">
        <f t="shared" ca="1" si="32"/>
        <v>30</v>
      </c>
      <c r="DC130" s="113">
        <f t="shared" ca="1" si="33"/>
        <v>45</v>
      </c>
      <c r="DD130" s="113">
        <f t="shared" ca="1" si="34"/>
        <v>35</v>
      </c>
      <c r="DE130" s="49">
        <f t="shared" ca="1" si="35"/>
        <v>0</v>
      </c>
      <c r="DF130" s="113">
        <f t="shared" ca="1" si="36"/>
        <v>20</v>
      </c>
      <c r="DG130" s="113" cm="1">
        <f t="array" aca="1" ref="DG130" ca="1">INDEX(TblConstr[[Total Plain]:[Total Water]],ROW()-ROW(TblConstr[#Headers]),MATCH("Total "&amp;home_land,TblConstr[[#Headers],[Total Plain]:[Total Water]],0))+TblConstr[[#This Row],[Homes]]</f>
        <v>450</v>
      </c>
      <c r="DH130" s="49">
        <f t="shared" ca="1" si="22"/>
        <v>48</v>
      </c>
      <c r="DI130" s="49">
        <f t="shared" ca="1" si="19"/>
        <v>0</v>
      </c>
      <c r="DJ130" s="49">
        <f t="shared" ca="1" si="20"/>
        <v>0</v>
      </c>
    </row>
    <row r="131" spans="1:114" x14ac:dyDescent="0.2">
      <c r="A131" s="228">
        <f>TblRezone[[#This Row],[Hour]]</f>
        <v>128</v>
      </c>
      <c r="B131" s="229">
        <f ca="1">SUM(TblConstr[[#This Row],[Plain]:[Water]])</f>
        <v>0</v>
      </c>
      <c r="C131" s="230">
        <f ca="1">SUM(TblConstr[[#This Row],[Tot Hom]:[Tot Doc]])</f>
        <v>600</v>
      </c>
      <c r="D131" s="230">
        <f t="shared" si="21"/>
        <v>0</v>
      </c>
      <c r="E131" s="231"/>
      <c r="F131" s="74">
        <f ca="1">TblConstr[[#This Row],[Barren]]+TblConstr[[#This Row],[Buildings]]+TblConstr[[#This Row],[Incoming]]</f>
        <v>600</v>
      </c>
      <c r="G131" s="242">
        <f ca="1">OFFSET(TblConstr[[#This Row],[Plain]],-1,0)+TblConstr[[#This Row],[Ch_Plain]]</f>
        <v>0</v>
      </c>
      <c r="H131" s="236">
        <f ca="1">OFFSET(TblConstr[[#This Row],[Forest]],-1,0)+TblConstr[[#This Row],[Ch_Forest]]</f>
        <v>0</v>
      </c>
      <c r="I131" s="478">
        <f ca="1">OFFSET(TblConstr[[#This Row],[Mountain]],-1,0)+TblConstr[[#This Row],[Ch_Mountain]]</f>
        <v>0</v>
      </c>
      <c r="J131" s="482">
        <f ca="1">OFFSET(TblConstr[[#This Row],[Hill]],-1,0)+TblConstr[[#This Row],[Ch_Hill]]</f>
        <v>0</v>
      </c>
      <c r="K131" s="486">
        <f ca="1">OFFSET(TblConstr[[#This Row],[Swamp]],-1,0)+TblConstr[[#This Row],[Ch_Swamp]]</f>
        <v>0</v>
      </c>
      <c r="L131" s="239">
        <f ca="1">OFFSET(TblConstr[[#This Row],[Cavern]],-1,0)+TblConstr[[#This Row],[Ch_Cavern]]</f>
        <v>0</v>
      </c>
      <c r="M131" s="240">
        <f ca="1">OFFSET(TblConstr[[#This Row],[Water]],-1,0)+TblConstr[[#This Row],[Ch_Water]]</f>
        <v>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44410.041666666359</v>
      </c>
      <c r="AI131" s="234">
        <f ca="1">MIN(25%,(TblConstr[[#This Row],[Tot Fac]]+TblConstr[[#This Row],[Dest Fac]])/(TblConstr[[#This Row],[Land]]-TblExplore[[#This Row],[Land Bonus]]*20))</f>
        <v>7.4999999999999997E-2</v>
      </c>
      <c r="AJ131" s="234">
        <f ca="1">MIN(25%,(TblConstr[[#This Row],[Tot Fac]]+TblConstr[[#This Row],[Dest Fac]])/TblConstr[[#This Row],[Land]])</f>
        <v>7.4999999999999997E-2</v>
      </c>
      <c r="AK131" s="113">
        <f ca="1">TblProd[[#This Row],[Platinum]]</f>
        <v>1837217</v>
      </c>
      <c r="AL131" s="113">
        <f ca="1">TblProd[[#This Row],[Lumber]]</f>
        <v>62222</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1" s="113">
        <f ca="1">ROUNDDOWN( MAX(1 - MIN(facs_constr_factor*TblConstr[[#This Row],[Facs -DB]],facs_constr_max) + tech_1_11*TblTech[[#This Row],[11-1]] + tech_6_3_2*TblTech[[#This Row],[6-3]] + tech_5_2_3*TblTech[[#This Row],[5-2]], 1-global_constr_cap) * TblConstr[[#This Row],[RCPA Lumber]],0)</f>
        <v>147</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1" s="113">
        <f ca="1">ROUNDDOWN( MAX(1 - MIN(facs_constr_factor*TblConstr[[#This Row],[Facs DB]],facs_constr_max) + tech_1_11*TblTech[[#This Row],[1-11]] + tech_6_3_2*TblTech[[#This Row],[6-3]] + tech_5_2_3*TblTech[[#This Row],[5-2]], 1-global_constr_cap) * TblConstr[[#This Row],[RCPA Lumber]],0)</f>
        <v>147</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1386</v>
      </c>
      <c r="AW131" s="113">
        <f ca="1">ROUND((MAX(TblConstr[[#This Row],[Buildings]],250,0.75*TblConstr[[#This Row],[Land]])-250) * 0.35+87.5,0)</f>
        <v>210</v>
      </c>
      <c r="AX131" s="200"/>
      <c r="AY131" s="243" cm="1">
        <f t="array" aca="1" ref="AY131" ca="1">IF(TblConstr[[#This Row],[Hour]:[Hour]]&gt;12,OFFSET(TblConstr[[#This Row],[Hom]],-12,0),0)+OFFSET(TblConstr[[#This Row],[Tot Hom]],-1,0)-TblConstr[[#This Row],[Dest Hom]]</f>
        <v>48</v>
      </c>
      <c r="AZ131" s="244" cm="1">
        <f t="array" aca="1" ref="AZ131" ca="1">IF(TblConstr[[#This Row],[Hour]:[Hour]]&gt;12,OFFSET(TblConstr[[#This Row],[Alc]],-12,0),0)+OFFSET(TblConstr[[#This Row],[Tot Alc]],-1,0)-TblConstr[[#This Row],[Dest Alc]]</f>
        <v>264</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108</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30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45</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15</v>
      </c>
      <c r="BM131" s="488" cm="1">
        <f t="array" aca="1" ref="BM131" ca="1">IF(TblConstr[[#This Row],[Hour]:[Hour]]&gt;12,OFFSET(TblConstr[[#This Row],[Tem]],-12,0),0)+OFFSET(TblConstr[[#This Row],[Tot Tem]],-1,0)-TblConstr[[#This Row],[Dest Tem]]</f>
        <v>20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20</v>
      </c>
      <c r="BR131" s="184"/>
      <c r="BS131" s="200"/>
      <c r="BT131" s="113">
        <f ca="1">TblConstr[[#This Row],[Land]]</f>
        <v>600</v>
      </c>
      <c r="BU131" s="205">
        <f ca="1">TblImps[[#This Row],[Time]]</f>
        <v>44410.041666666359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402</v>
      </c>
      <c r="DA131" s="113">
        <f t="shared" ca="1" si="31"/>
        <v>20</v>
      </c>
      <c r="DB131" s="49">
        <f t="shared" ca="1" si="32"/>
        <v>30</v>
      </c>
      <c r="DC131" s="113">
        <f t="shared" ca="1" si="33"/>
        <v>45</v>
      </c>
      <c r="DD131" s="113">
        <f t="shared" ca="1" si="34"/>
        <v>35</v>
      </c>
      <c r="DE131" s="49">
        <f t="shared" ca="1" si="35"/>
        <v>0</v>
      </c>
      <c r="DF131" s="113">
        <f t="shared" ca="1" si="36"/>
        <v>20</v>
      </c>
      <c r="DG131" s="113" cm="1">
        <f t="array" aca="1" ref="DG131" ca="1">INDEX(TblConstr[[Total Plain]:[Total Water]],ROW()-ROW(TblConstr[#Headers]),MATCH("Total "&amp;home_land,TblConstr[[#Headers],[Total Plain]:[Total Water]],0))+TblConstr[[#This Row],[Homes]]</f>
        <v>450</v>
      </c>
      <c r="DH131" s="49">
        <f t="shared" ca="1" si="22"/>
        <v>48</v>
      </c>
      <c r="DI131" s="49">
        <f t="shared" ca="1" si="19"/>
        <v>0</v>
      </c>
      <c r="DJ131" s="49">
        <f t="shared" ca="1" si="20"/>
        <v>0</v>
      </c>
    </row>
    <row r="132" spans="1:114" x14ac:dyDescent="0.2">
      <c r="A132" s="228">
        <f>TblRezone[[#This Row],[Hour]]</f>
        <v>129</v>
      </c>
      <c r="B132" s="229">
        <f ca="1">SUM(TblConstr[[#This Row],[Plain]:[Water]])</f>
        <v>0</v>
      </c>
      <c r="C132" s="230">
        <f ca="1">SUM(TblConstr[[#This Row],[Tot Hom]:[Tot Doc]])</f>
        <v>600</v>
      </c>
      <c r="D132" s="230">
        <f>SUM(O121:AG132)</f>
        <v>0</v>
      </c>
      <c r="E132" s="231"/>
      <c r="F132" s="74">
        <f ca="1">TblConstr[[#This Row],[Barren]]+TblConstr[[#This Row],[Buildings]]+TblConstr[[#This Row],[Incoming]]</f>
        <v>600</v>
      </c>
      <c r="G132" s="242">
        <f ca="1">OFFSET(TblConstr[[#This Row],[Plain]],-1,0)+TblConstr[[#This Row],[Ch_Plain]]</f>
        <v>0</v>
      </c>
      <c r="H132" s="236">
        <f ca="1">OFFSET(TblConstr[[#This Row],[Forest]],-1,0)+TblConstr[[#This Row],[Ch_Forest]]</f>
        <v>0</v>
      </c>
      <c r="I132" s="478">
        <f ca="1">OFFSET(TblConstr[[#This Row],[Mountain]],-1,0)+TblConstr[[#This Row],[Ch_Mountain]]</f>
        <v>0</v>
      </c>
      <c r="J132" s="482">
        <f ca="1">OFFSET(TblConstr[[#This Row],[Hill]],-1,0)+TblConstr[[#This Row],[Ch_Hill]]</f>
        <v>0</v>
      </c>
      <c r="K132" s="486">
        <f ca="1">OFFSET(TblConstr[[#This Row],[Swamp]],-1,0)+TblConstr[[#This Row],[Ch_Swamp]]</f>
        <v>0</v>
      </c>
      <c r="L132" s="239">
        <f ca="1">OFFSET(TblConstr[[#This Row],[Cavern]],-1,0)+TblConstr[[#This Row],[Ch_Cavern]]</f>
        <v>0</v>
      </c>
      <c r="M132" s="240">
        <f ca="1">OFFSET(TblConstr[[#This Row],[Water]],-1,0)+TblConstr[[#This Row],[Ch_Water]]</f>
        <v>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44410.083333333023</v>
      </c>
      <c r="AI132" s="234">
        <f ca="1">MIN(25%,(TblConstr[[#This Row],[Tot Fac]]+TblConstr[[#This Row],[Dest Fac]])/(TblConstr[[#This Row],[Land]]-TblExplore[[#This Row],[Land Bonus]]*20))</f>
        <v>7.4999999999999997E-2</v>
      </c>
      <c r="AJ132" s="234">
        <f ca="1">MIN(25%,(TblConstr[[#This Row],[Tot Fac]]+TblConstr[[#This Row],[Dest Fac]])/TblConstr[[#This Row],[Land]])</f>
        <v>7.4999999999999997E-2</v>
      </c>
      <c r="AK132" s="113">
        <f ca="1">TblProd[[#This Row],[Platinum]]</f>
        <v>1860566</v>
      </c>
      <c r="AL132" s="113">
        <f ca="1">TblProd[[#This Row],[Lumber]]</f>
        <v>62600</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2" s="113">
        <f ca="1">ROUNDDOWN( MAX(1 - MIN(facs_constr_factor*TblConstr[[#This Row],[Facs -DB]],facs_constr_max) + tech_1_11*TblTech[[#This Row],[11-1]] + tech_6_3_2*TblTech[[#This Row],[6-3]] + tech_5_2_3*TblTech[[#This Row],[5-2]], 1-global_constr_cap) * TblConstr[[#This Row],[RCPA Lumber]],0)</f>
        <v>147</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2" s="113">
        <f ca="1">ROUNDDOWN( MAX(1 - MIN(facs_constr_factor*TblConstr[[#This Row],[Facs DB]],facs_constr_max) + tech_1_11*TblTech[[#This Row],[1-11]] + tech_6_3_2*TblTech[[#This Row],[6-3]] + tech_5_2_3*TblTech[[#This Row],[5-2]], 1-global_constr_cap) * TblConstr[[#This Row],[RCPA Lumber]],0)</f>
        <v>147</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1386</v>
      </c>
      <c r="AW132" s="113">
        <f ca="1">ROUND((MAX(TblConstr[[#This Row],[Buildings]],250,0.75*TblConstr[[#This Row],[Land]])-250) * 0.35+87.5,0)</f>
        <v>210</v>
      </c>
      <c r="AX132" s="200"/>
      <c r="AY132" s="243" cm="1">
        <f t="array" aca="1" ref="AY132" ca="1">IF(TblConstr[[#This Row],[Hour]:[Hour]]&gt;12,OFFSET(TblConstr[[#This Row],[Hom]],-12,0),0)+OFFSET(TblConstr[[#This Row],[Tot Hom]],-1,0)-TblConstr[[#This Row],[Dest Hom]]</f>
        <v>48</v>
      </c>
      <c r="AZ132" s="244" cm="1">
        <f t="array" aca="1" ref="AZ132" ca="1">IF(TblConstr[[#This Row],[Hour]:[Hour]]&gt;12,OFFSET(TblConstr[[#This Row],[Alc]],-12,0),0)+OFFSET(TblConstr[[#This Row],[Tot Alc]],-1,0)-TblConstr[[#This Row],[Dest Alc]]</f>
        <v>264</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108</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30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45</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15</v>
      </c>
      <c r="BM132" s="488" cm="1">
        <f t="array" aca="1" ref="BM132" ca="1">IF(TblConstr[[#This Row],[Hour]:[Hour]]&gt;12,OFFSET(TblConstr[[#This Row],[Tem]],-12,0),0)+OFFSET(TblConstr[[#This Row],[Tot Tem]],-1,0)-TblConstr[[#This Row],[Dest Tem]]</f>
        <v>20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20</v>
      </c>
      <c r="BR132" s="184"/>
      <c r="BS132" s="200"/>
      <c r="BT132" s="113">
        <f ca="1">TblConstr[[#This Row],[Land]]</f>
        <v>600</v>
      </c>
      <c r="BU132" s="205">
        <f ca="1">TblImps[[#This Row],[Time]]</f>
        <v>44410.083333333023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402</v>
      </c>
      <c r="DA132" s="113">
        <f ca="1">H132+SUM(T121:U132)+SUM(BD132:BE132)</f>
        <v>20</v>
      </c>
      <c r="DB132" s="49">
        <f ca="1">I132+SUM(V121:W132)+SUM(BF132:BG132)</f>
        <v>30</v>
      </c>
      <c r="DC132" s="113">
        <f ca="1">J132+SUM(X121:Y132)+SUM(BH132:BI132)</f>
        <v>45</v>
      </c>
      <c r="DD132" s="113">
        <f ca="1">K132+SUM(AB121:AD132)+SUM(BL132:BN132)</f>
        <v>35</v>
      </c>
      <c r="DE132" s="49">
        <f ca="1">L132+SUM(AE121:AE132)+BO132</f>
        <v>0</v>
      </c>
      <c r="DF132" s="113">
        <f ca="1">M132+SUM(AG121:AG132)+BQ132</f>
        <v>20</v>
      </c>
      <c r="DG132" s="113" cm="1">
        <f t="array" aca="1" ref="DG132" ca="1">INDEX(TblConstr[[Total Plain]:[Total Water]],ROW()-ROW(TblConstr[#Headers]),MATCH("Total "&amp;home_land,TblConstr[[#Headers],[Total Plain]:[Total Water]],0))+TblConstr[[#This Row],[Homes]]</f>
        <v>450</v>
      </c>
      <c r="DH132" s="49">
        <f ca="1">SUM(O121:O132)+AY132</f>
        <v>48</v>
      </c>
      <c r="DI132" s="49">
        <f ca="1">MAX(BA132-BA131,0)</f>
        <v>0</v>
      </c>
      <c r="DJ132" s="49">
        <f ca="1">MAX(BQ132-BQ131,0)</f>
        <v>0</v>
      </c>
    </row>
    <row r="133" spans="1:114" x14ac:dyDescent="0.2">
      <c r="A133" s="228">
        <f>TblRezone[[#This Row],[Hour]]</f>
        <v>130</v>
      </c>
      <c r="B133" s="229">
        <f ca="1">SUM(TblConstr[[#This Row],[Plain]:[Water]])</f>
        <v>0</v>
      </c>
      <c r="C133" s="230">
        <f ca="1">SUM(TblConstr[[#This Row],[Tot Hom]:[Tot Doc]])</f>
        <v>600</v>
      </c>
      <c r="D133" s="230">
        <f>SUM(O122:AG133)</f>
        <v>0</v>
      </c>
      <c r="E133" s="231"/>
      <c r="F133" s="74">
        <f ca="1">TblConstr[[#This Row],[Barren]]+TblConstr[[#This Row],[Buildings]]+TblConstr[[#This Row],[Incoming]]</f>
        <v>600</v>
      </c>
      <c r="G133" s="242">
        <f ca="1">OFFSET(TblConstr[[#This Row],[Plain]],-1,0)+TblConstr[[#This Row],[Ch_Plain]]</f>
        <v>0</v>
      </c>
      <c r="H133" s="236">
        <f ca="1">OFFSET(TblConstr[[#This Row],[Forest]],-1,0)+TblConstr[[#This Row],[Ch_Forest]]</f>
        <v>0</v>
      </c>
      <c r="I133" s="478">
        <f ca="1">OFFSET(TblConstr[[#This Row],[Mountain]],-1,0)+TblConstr[[#This Row],[Ch_Mountain]]</f>
        <v>0</v>
      </c>
      <c r="J133" s="482">
        <f ca="1">OFFSET(TblConstr[[#This Row],[Hill]],-1,0)+TblConstr[[#This Row],[Ch_Hill]]</f>
        <v>0</v>
      </c>
      <c r="K133" s="486">
        <f ca="1">OFFSET(TblConstr[[#This Row],[Swamp]],-1,0)+TblConstr[[#This Row],[Ch_Swamp]]</f>
        <v>0</v>
      </c>
      <c r="L133" s="239">
        <f ca="1">OFFSET(TblConstr[[#This Row],[Cavern]],-1,0)+TblConstr[[#This Row],[Ch_Cavern]]</f>
        <v>0</v>
      </c>
      <c r="M133" s="240">
        <f ca="1">OFFSET(TblConstr[[#This Row],[Water]],-1,0)+TblConstr[[#This Row],[Ch_Water]]</f>
        <v>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44410.124999999687</v>
      </c>
      <c r="AI133" s="234">
        <f ca="1">MIN(25%,(TblConstr[[#This Row],[Tot Fac]]+TblConstr[[#This Row],[Dest Fac]])/(TblConstr[[#This Row],[Land]]-TblExplore[[#This Row],[Land Bonus]]*20))</f>
        <v>7.4999999999999997E-2</v>
      </c>
      <c r="AJ133" s="234">
        <f ca="1">MIN(25%,(TblConstr[[#This Row],[Tot Fac]]+TblConstr[[#This Row],[Dest Fac]])/TblConstr[[#This Row],[Land]])</f>
        <v>7.4999999999999997E-2</v>
      </c>
      <c r="AK133" s="113">
        <f ca="1">TblProd[[#This Row],[Platinum]]</f>
        <v>1883802</v>
      </c>
      <c r="AL133" s="113">
        <f ca="1">TblProd[[#This Row],[Lumber]]</f>
        <v>62974</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3" s="113">
        <f ca="1">ROUNDDOWN( MAX(1 - MIN(facs_constr_factor*TblConstr[[#This Row],[Facs -DB]],facs_constr_max) + tech_1_11*TblTech[[#This Row],[11-1]] + tech_6_3_2*TblTech[[#This Row],[6-3]] + tech_5_2_3*TblTech[[#This Row],[5-2]], 1-global_constr_cap) * TblConstr[[#This Row],[RCPA Lumber]],0)</f>
        <v>147</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3" s="113">
        <f ca="1">ROUNDDOWN( MAX(1 - MIN(facs_constr_factor*TblConstr[[#This Row],[Facs DB]],facs_constr_max) + tech_1_11*TblTech[[#This Row],[1-11]] + tech_6_3_2*TblTech[[#This Row],[6-3]] + tech_5_2_3*TblTech[[#This Row],[5-2]], 1-global_constr_cap) * TblConstr[[#This Row],[RCPA Lumber]],0)</f>
        <v>147</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1386</v>
      </c>
      <c r="AW133" s="113">
        <f ca="1">ROUND((MAX(TblConstr[[#This Row],[Buildings]],250,0.75*TblConstr[[#This Row],[Land]])-250) * 0.35+87.5,0)</f>
        <v>210</v>
      </c>
      <c r="AX133" s="200"/>
      <c r="AY133" s="243" cm="1">
        <f t="array" aca="1" ref="AY133" ca="1">IF(TblConstr[[#This Row],[Hour]:[Hour]]&gt;12,OFFSET(TblConstr[[#This Row],[Hom]],-12,0),0)+OFFSET(TblConstr[[#This Row],[Tot Hom]],-1,0)-TblConstr[[#This Row],[Dest Hom]]</f>
        <v>48</v>
      </c>
      <c r="AZ133" s="244" cm="1">
        <f t="array" aca="1" ref="AZ133" ca="1">IF(TblConstr[[#This Row],[Hour]:[Hour]]&gt;12,OFFSET(TblConstr[[#This Row],[Alc]],-12,0),0)+OFFSET(TblConstr[[#This Row],[Tot Alc]],-1,0)-TblConstr[[#This Row],[Dest Alc]]</f>
        <v>264</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108</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30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45</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15</v>
      </c>
      <c r="BM133" s="488" cm="1">
        <f t="array" aca="1" ref="BM133" ca="1">IF(TblConstr[[#This Row],[Hour]:[Hour]]&gt;12,OFFSET(TblConstr[[#This Row],[Tem]],-12,0),0)+OFFSET(TblConstr[[#This Row],[Tot Tem]],-1,0)-TblConstr[[#This Row],[Dest Tem]]</f>
        <v>20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20</v>
      </c>
      <c r="BR133" s="184"/>
      <c r="BS133" s="200"/>
      <c r="BT133" s="113">
        <f ca="1">TblConstr[[#This Row],[Land]]</f>
        <v>600</v>
      </c>
      <c r="BU133" s="205">
        <f ca="1">TblImps[[#This Row],[Time]]</f>
        <v>44410.124999999687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402</v>
      </c>
      <c r="DA133" s="113">
        <f ca="1">H133+SUM(T122:U133)+SUM(BD133:BE133)</f>
        <v>20</v>
      </c>
      <c r="DB133" s="49">
        <f ca="1">I133+SUM(V122:W133)+SUM(BF133:BG133)</f>
        <v>30</v>
      </c>
      <c r="DC133" s="113">
        <f ca="1">J133+SUM(X122:Y133)+SUM(BH133:BI133)</f>
        <v>45</v>
      </c>
      <c r="DD133" s="113">
        <f ca="1">K133+SUM(AB122:AD133)+SUM(BL133:BN133)</f>
        <v>35</v>
      </c>
      <c r="DE133" s="49">
        <f ca="1">L133+SUM(AE122:AE133)+BO133</f>
        <v>0</v>
      </c>
      <c r="DF133" s="113">
        <f ca="1">M133+SUM(AG122:AG133)+BQ133</f>
        <v>20</v>
      </c>
      <c r="DG133" s="113" cm="1">
        <f t="array" aca="1" ref="DG133" ca="1">INDEX(TblConstr[[Total Plain]:[Total Water]],ROW()-ROW(TblConstr[#Headers]),MATCH("Total "&amp;home_land,TblConstr[[#Headers],[Total Plain]:[Total Water]],0))+TblConstr[[#This Row],[Homes]]</f>
        <v>450</v>
      </c>
      <c r="DH133" s="49">
        <f ca="1">SUM(O122:O133)+AY133</f>
        <v>48</v>
      </c>
      <c r="DI133" s="49">
        <f t="shared" ca="1" si="19"/>
        <v>0</v>
      </c>
      <c r="DJ133" s="49">
        <f t="shared" ca="1" si="20"/>
        <v>0</v>
      </c>
    </row>
    <row r="134" spans="1:114" x14ac:dyDescent="0.2">
      <c r="A134" s="228">
        <f>TblRezone[[#This Row],[Hour]]</f>
        <v>131</v>
      </c>
      <c r="B134" s="229">
        <f ca="1">SUM(TblConstr[[#This Row],[Plain]:[Water]])</f>
        <v>0</v>
      </c>
      <c r="C134" s="230">
        <f ca="1">SUM(TblConstr[[#This Row],[Tot Hom]:[Tot Doc]])</f>
        <v>600</v>
      </c>
      <c r="D134" s="230">
        <f>SUM(O123:AG134)</f>
        <v>0</v>
      </c>
      <c r="E134" s="231"/>
      <c r="F134" s="74">
        <f ca="1">TblConstr[[#This Row],[Barren]]+TblConstr[[#This Row],[Buildings]]+TblConstr[[#This Row],[Incoming]]</f>
        <v>600</v>
      </c>
      <c r="G134" s="242">
        <f ca="1">OFFSET(TblConstr[[#This Row],[Plain]],-1,0)+TblConstr[[#This Row],[Ch_Plain]]</f>
        <v>0</v>
      </c>
      <c r="H134" s="236">
        <f ca="1">OFFSET(TblConstr[[#This Row],[Forest]],-1,0)+TblConstr[[#This Row],[Ch_Forest]]</f>
        <v>0</v>
      </c>
      <c r="I134" s="478">
        <f ca="1">OFFSET(TblConstr[[#This Row],[Mountain]],-1,0)+TblConstr[[#This Row],[Ch_Mountain]]</f>
        <v>0</v>
      </c>
      <c r="J134" s="482">
        <f ca="1">OFFSET(TblConstr[[#This Row],[Hill]],-1,0)+TblConstr[[#This Row],[Ch_Hill]]</f>
        <v>0</v>
      </c>
      <c r="K134" s="486">
        <f ca="1">OFFSET(TblConstr[[#This Row],[Swamp]],-1,0)+TblConstr[[#This Row],[Ch_Swamp]]</f>
        <v>0</v>
      </c>
      <c r="L134" s="239">
        <f ca="1">OFFSET(TblConstr[[#This Row],[Cavern]],-1,0)+TblConstr[[#This Row],[Ch_Cavern]]</f>
        <v>0</v>
      </c>
      <c r="M134" s="240">
        <f ca="1">OFFSET(TblConstr[[#This Row],[Water]],-1,0)+TblConstr[[#This Row],[Ch_Water]]</f>
        <v>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44410.166666666351</v>
      </c>
      <c r="AI134" s="234">
        <f ca="1">MIN(25%,(TblConstr[[#This Row],[Tot Fac]]+TblConstr[[#This Row],[Dest Fac]])/(TblConstr[[#This Row],[Land]]-TblExplore[[#This Row],[Land Bonus]]*20))</f>
        <v>7.4999999999999997E-2</v>
      </c>
      <c r="AJ134" s="234">
        <f ca="1">MIN(25%,(TblConstr[[#This Row],[Tot Fac]]+TblConstr[[#This Row],[Dest Fac]])/TblConstr[[#This Row],[Land]])</f>
        <v>7.4999999999999997E-2</v>
      </c>
      <c r="AK134" s="113">
        <f ca="1">TblProd[[#This Row],[Platinum]]</f>
        <v>1906924</v>
      </c>
      <c r="AL134" s="113">
        <f ca="1">TblProd[[#This Row],[Lumber]]</f>
        <v>63344</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4" s="113">
        <f ca="1">ROUNDDOWN( MAX(1 - MIN(facs_constr_factor*TblConstr[[#This Row],[Facs -DB]],facs_constr_max) + tech_1_11*TblTech[[#This Row],[11-1]] + tech_6_3_2*TblTech[[#This Row],[6-3]] + tech_5_2_3*TblTech[[#This Row],[5-2]], 1-global_constr_cap) * TblConstr[[#This Row],[RCPA Lumber]],0)</f>
        <v>147</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4" s="113">
        <f ca="1">ROUNDDOWN( MAX(1 - MIN(facs_constr_factor*TblConstr[[#This Row],[Facs DB]],facs_constr_max) + tech_1_11*TblTech[[#This Row],[1-11]] + tech_6_3_2*TblTech[[#This Row],[6-3]] + tech_5_2_3*TblTech[[#This Row],[5-2]], 1-global_constr_cap) * TblConstr[[#This Row],[RCPA Lumber]],0)</f>
        <v>147</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1386</v>
      </c>
      <c r="AW134" s="113">
        <f ca="1">ROUND((MAX(TblConstr[[#This Row],[Buildings]],250,0.75*TblConstr[[#This Row],[Land]])-250) * 0.35+87.5,0)</f>
        <v>210</v>
      </c>
      <c r="AX134" s="200"/>
      <c r="AY134" s="243" cm="1">
        <f t="array" aca="1" ref="AY134" ca="1">IF(TblConstr[[#This Row],[Hour]:[Hour]]&gt;12,OFFSET(TblConstr[[#This Row],[Hom]],-12,0),0)+OFFSET(TblConstr[[#This Row],[Tot Hom]],-1,0)-TblConstr[[#This Row],[Dest Hom]]</f>
        <v>48</v>
      </c>
      <c r="AZ134" s="244" cm="1">
        <f t="array" aca="1" ref="AZ134" ca="1">IF(TblConstr[[#This Row],[Hour]:[Hour]]&gt;12,OFFSET(TblConstr[[#This Row],[Alc]],-12,0),0)+OFFSET(TblConstr[[#This Row],[Tot Alc]],-1,0)-TblConstr[[#This Row],[Dest Alc]]</f>
        <v>264</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108</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30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45</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15</v>
      </c>
      <c r="BM134" s="488" cm="1">
        <f t="array" aca="1" ref="BM134" ca="1">IF(TblConstr[[#This Row],[Hour]:[Hour]]&gt;12,OFFSET(TblConstr[[#This Row],[Tem]],-12,0),0)+OFFSET(TblConstr[[#This Row],[Tot Tem]],-1,0)-TblConstr[[#This Row],[Dest Tem]]</f>
        <v>20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20</v>
      </c>
      <c r="BR134" s="184"/>
      <c r="BS134" s="200"/>
      <c r="BT134" s="113">
        <f ca="1">TblConstr[[#This Row],[Land]]</f>
        <v>600</v>
      </c>
      <c r="BU134" s="205">
        <f ca="1">TblImps[[#This Row],[Time]]</f>
        <v>44410.166666666351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402</v>
      </c>
      <c r="DA134" s="113">
        <f ca="1">H134+SUM(T123:U134)+SUM(BD134:BE134)</f>
        <v>20</v>
      </c>
      <c r="DB134" s="49">
        <f ca="1">I134+SUM(V123:W134)+SUM(BF134:BG134)</f>
        <v>30</v>
      </c>
      <c r="DC134" s="113">
        <f ca="1">J134+SUM(X123:Y134)+SUM(BH134:BI134)</f>
        <v>45</v>
      </c>
      <c r="DD134" s="113">
        <f ca="1">K134+SUM(AB123:AD134)+SUM(BL134:BN134)</f>
        <v>35</v>
      </c>
      <c r="DE134" s="49">
        <f ca="1">L134+SUM(AE123:AE134)+BO134</f>
        <v>0</v>
      </c>
      <c r="DF134" s="113">
        <f ca="1">M134+SUM(AG123:AG134)+BQ134</f>
        <v>20</v>
      </c>
      <c r="DG134" s="113" cm="1">
        <f t="array" aca="1" ref="DG134" ca="1">INDEX(TblConstr[[Total Plain]:[Total Water]],ROW()-ROW(TblConstr[#Headers]),MATCH("Total "&amp;home_land,TblConstr[[#Headers],[Total Plain]:[Total Water]],0))+TblConstr[[#This Row],[Homes]]</f>
        <v>450</v>
      </c>
      <c r="DH134" s="49">
        <f ca="1">SUM(O123:O134)+AY134</f>
        <v>48</v>
      </c>
      <c r="DI134" s="49">
        <f ca="1">MAX(BA134-BA133,0)</f>
        <v>0</v>
      </c>
      <c r="DJ134" s="49">
        <f ca="1">MAX(BQ134-BQ133,0)</f>
        <v>0</v>
      </c>
    </row>
    <row r="135" spans="1:114" x14ac:dyDescent="0.2">
      <c r="A135" s="228">
        <f>TblRezone[[#This Row],[Hour]]</f>
        <v>132</v>
      </c>
      <c r="B135" s="229">
        <f ca="1">SUM(TblConstr[[#This Row],[Plain]:[Water]])</f>
        <v>0</v>
      </c>
      <c r="C135" s="230">
        <f ca="1">SUM(TblConstr[[#This Row],[Tot Hom]:[Tot Doc]])</f>
        <v>600</v>
      </c>
      <c r="D135" s="230">
        <f>SUM(O124:AG135)</f>
        <v>0</v>
      </c>
      <c r="E135" s="231"/>
      <c r="F135" s="74">
        <f ca="1">TblConstr[[#This Row],[Barren]]+TblConstr[[#This Row],[Buildings]]+TblConstr[[#This Row],[Incoming]]</f>
        <v>600</v>
      </c>
      <c r="G135" s="242">
        <f ca="1">OFFSET(TblConstr[[#This Row],[Plain]],-1,0)+TblConstr[[#This Row],[Ch_Plain]]</f>
        <v>0</v>
      </c>
      <c r="H135" s="236">
        <f ca="1">OFFSET(TblConstr[[#This Row],[Forest]],-1,0)+TblConstr[[#This Row],[Ch_Forest]]</f>
        <v>0</v>
      </c>
      <c r="I135" s="478">
        <f ca="1">OFFSET(TblConstr[[#This Row],[Mountain]],-1,0)+TblConstr[[#This Row],[Ch_Mountain]]</f>
        <v>0</v>
      </c>
      <c r="J135" s="482">
        <f ca="1">OFFSET(TblConstr[[#This Row],[Hill]],-1,0)+TblConstr[[#This Row],[Ch_Hill]]</f>
        <v>0</v>
      </c>
      <c r="K135" s="486">
        <f ca="1">OFFSET(TblConstr[[#This Row],[Swamp]],-1,0)+TblConstr[[#This Row],[Ch_Swamp]]</f>
        <v>0</v>
      </c>
      <c r="L135" s="239">
        <f ca="1">OFFSET(TblConstr[[#This Row],[Cavern]],-1,0)+TblConstr[[#This Row],[Ch_Cavern]]</f>
        <v>0</v>
      </c>
      <c r="M135" s="240">
        <f ca="1">OFFSET(TblConstr[[#This Row],[Water]],-1,0)+TblConstr[[#This Row],[Ch_Water]]</f>
        <v>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44410.208333333016</v>
      </c>
      <c r="AI135" s="234">
        <f ca="1">MIN(25%,(TblConstr[[#This Row],[Tot Fac]]+TblConstr[[#This Row],[Dest Fac]])/(TblConstr[[#This Row],[Land]]-TblExplore[[#This Row],[Land Bonus]]*20))</f>
        <v>7.4999999999999997E-2</v>
      </c>
      <c r="AJ135" s="234">
        <f ca="1">MIN(25%,(TblConstr[[#This Row],[Tot Fac]]+TblConstr[[#This Row],[Dest Fac]])/TblConstr[[#This Row],[Land]])</f>
        <v>7.4999999999999997E-2</v>
      </c>
      <c r="AK135" s="113">
        <f ca="1">TblProd[[#This Row],[Platinum]]</f>
        <v>1929933</v>
      </c>
      <c r="AL135" s="113">
        <f ca="1">TblProd[[#This Row],[Lumber]]</f>
        <v>63711</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5" s="113">
        <f ca="1">ROUNDDOWN( MAX(1 - MIN(facs_constr_factor*TblConstr[[#This Row],[Facs -DB]],facs_constr_max) + tech_1_11*TblTech[[#This Row],[11-1]] + tech_6_3_2*TblTech[[#This Row],[6-3]] + tech_5_2_3*TblTech[[#This Row],[5-2]], 1-global_constr_cap) * TblConstr[[#This Row],[RCPA Lumber]],0)</f>
        <v>147</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5" s="113">
        <f ca="1">ROUNDDOWN( MAX(1 - MIN(facs_constr_factor*TblConstr[[#This Row],[Facs DB]],facs_constr_max) + tech_1_11*TblTech[[#This Row],[1-11]] + tech_6_3_2*TblTech[[#This Row],[6-3]] + tech_5_2_3*TblTech[[#This Row],[5-2]], 1-global_constr_cap) * TblConstr[[#This Row],[RCPA Lumber]],0)</f>
        <v>147</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1386</v>
      </c>
      <c r="AW135" s="113">
        <f ca="1">ROUND((MAX(TblConstr[[#This Row],[Buildings]],250,0.75*TblConstr[[#This Row],[Land]])-250) * 0.35+87.5,0)</f>
        <v>210</v>
      </c>
      <c r="AX135" s="200"/>
      <c r="AY135" s="243" cm="1">
        <f t="array" aca="1" ref="AY135" ca="1">IF(TblConstr[[#This Row],[Hour]:[Hour]]&gt;12,OFFSET(TblConstr[[#This Row],[Hom]],-12,0),0)+OFFSET(TblConstr[[#This Row],[Tot Hom]],-1,0)-TblConstr[[#This Row],[Dest Hom]]</f>
        <v>48</v>
      </c>
      <c r="AZ135" s="244" cm="1">
        <f t="array" aca="1" ref="AZ135" ca="1">IF(TblConstr[[#This Row],[Hour]:[Hour]]&gt;12,OFFSET(TblConstr[[#This Row],[Alc]],-12,0),0)+OFFSET(TblConstr[[#This Row],[Tot Alc]],-1,0)-TblConstr[[#This Row],[Dest Alc]]</f>
        <v>264</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108</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30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45</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15</v>
      </c>
      <c r="BM135" s="488" cm="1">
        <f t="array" aca="1" ref="BM135" ca="1">IF(TblConstr[[#This Row],[Hour]:[Hour]]&gt;12,OFFSET(TblConstr[[#This Row],[Tem]],-12,0),0)+OFFSET(TblConstr[[#This Row],[Tot Tem]],-1,0)-TblConstr[[#This Row],[Dest Tem]]</f>
        <v>20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20</v>
      </c>
      <c r="BR135" s="184"/>
      <c r="BS135" s="200"/>
      <c r="BT135" s="113">
        <f ca="1">TblConstr[[#This Row],[Land]]</f>
        <v>600</v>
      </c>
      <c r="BU135" s="205">
        <f ca="1">TblImps[[#This Row],[Time]]</f>
        <v>44410.208333333016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402</v>
      </c>
      <c r="DA135" s="113">
        <f ca="1">H135+SUM(T124:U135)+SUM(BD135:BE135)</f>
        <v>20</v>
      </c>
      <c r="DB135" s="49">
        <f ca="1">I135+SUM(V124:W135)+SUM(BF135:BG135)</f>
        <v>30</v>
      </c>
      <c r="DC135" s="113">
        <f ca="1">J135+SUM(X124:Y135)+SUM(BH135:BI135)</f>
        <v>45</v>
      </c>
      <c r="DD135" s="113">
        <f ca="1">K135+SUM(AB124:AD135)+SUM(BL135:BN135)</f>
        <v>35</v>
      </c>
      <c r="DE135" s="49">
        <f ca="1">L135+SUM(AE124:AE135)+BO135</f>
        <v>0</v>
      </c>
      <c r="DF135" s="113">
        <f ca="1">M135+SUM(AG124:AG135)+BQ135</f>
        <v>20</v>
      </c>
      <c r="DG135" s="113" cm="1">
        <f t="array" aca="1" ref="DG135" ca="1">INDEX(TblConstr[[Total Plain]:[Total Water]],ROW()-ROW(TblConstr[#Headers]),MATCH("Total "&amp;home_land,TblConstr[[#Headers],[Total Plain]:[Total Water]],0))+TblConstr[[#This Row],[Homes]]</f>
        <v>450</v>
      </c>
      <c r="DH135" s="49">
        <f ca="1">SUM(O124:O135)+AY135</f>
        <v>48</v>
      </c>
      <c r="DI135" s="49">
        <f ca="1">MAX(BA135-BA134,0)</f>
        <v>0</v>
      </c>
      <c r="DJ135" s="49">
        <f ca="1">MAX(BQ135-BQ134,0)</f>
        <v>0</v>
      </c>
    </row>
    <row r="136" spans="1:114" x14ac:dyDescent="0.2">
      <c r="A136" s="228">
        <f>TblRezone[[#This Row],[Hour]]</f>
        <v>133</v>
      </c>
      <c r="B136" s="229">
        <f ca="1">SUM(TblConstr[[#This Row],[Plain]:[Water]])</f>
        <v>0</v>
      </c>
      <c r="C136" s="230">
        <f ca="1">SUM(TblConstr[[#This Row],[Tot Hom]:[Tot Doc]])</f>
        <v>600</v>
      </c>
      <c r="D136" s="230">
        <f>SUM(O125:AG136)</f>
        <v>0</v>
      </c>
      <c r="E136" s="231"/>
      <c r="F136" s="74">
        <f ca="1">TblConstr[[#This Row],[Barren]]+TblConstr[[#This Row],[Buildings]]+TblConstr[[#This Row],[Incoming]]</f>
        <v>600</v>
      </c>
      <c r="G136" s="242">
        <f ca="1">OFFSET(TblConstr[[#This Row],[Plain]],-1,0)+TblConstr[[#This Row],[Ch_Plain]]</f>
        <v>0</v>
      </c>
      <c r="H136" s="236">
        <f ca="1">OFFSET(TblConstr[[#This Row],[Forest]],-1,0)+TblConstr[[#This Row],[Ch_Forest]]</f>
        <v>0</v>
      </c>
      <c r="I136" s="478">
        <f ca="1">OFFSET(TblConstr[[#This Row],[Mountain]],-1,0)+TblConstr[[#This Row],[Ch_Mountain]]</f>
        <v>0</v>
      </c>
      <c r="J136" s="482">
        <f ca="1">OFFSET(TblConstr[[#This Row],[Hill]],-1,0)+TblConstr[[#This Row],[Ch_Hill]]</f>
        <v>0</v>
      </c>
      <c r="K136" s="486">
        <f ca="1">OFFSET(TblConstr[[#This Row],[Swamp]],-1,0)+TblConstr[[#This Row],[Ch_Swamp]]</f>
        <v>0</v>
      </c>
      <c r="L136" s="239">
        <f ca="1">OFFSET(TblConstr[[#This Row],[Cavern]],-1,0)+TblConstr[[#This Row],[Ch_Cavern]]</f>
        <v>0</v>
      </c>
      <c r="M136" s="240">
        <f ca="1">OFFSET(TblConstr[[#This Row],[Water]],-1,0)+TblConstr[[#This Row],[Ch_Water]]</f>
        <v>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44410.24999999968</v>
      </c>
      <c r="AI136" s="234">
        <f ca="1">MIN(25%,(TblConstr[[#This Row],[Tot Fac]]+TblConstr[[#This Row],[Dest Fac]])/(TblConstr[[#This Row],[Land]]-TblExplore[[#This Row],[Land Bonus]]*20))</f>
        <v>7.4999999999999997E-2</v>
      </c>
      <c r="AJ136" s="234">
        <f ca="1">MIN(25%,(TblConstr[[#This Row],[Tot Fac]]+TblConstr[[#This Row],[Dest Fac]])/TblConstr[[#This Row],[Land]])</f>
        <v>7.4999999999999997E-2</v>
      </c>
      <c r="AK136" s="113">
        <f ca="1">TblProd[[#This Row],[Platinum]]</f>
        <v>1952831</v>
      </c>
      <c r="AL136" s="113">
        <f ca="1">TblProd[[#This Row],[Lumber]]</f>
        <v>64074</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6" s="113">
        <f ca="1">ROUNDDOWN( MAX(1 - MIN(facs_constr_factor*TblConstr[[#This Row],[Facs -DB]],facs_constr_max) + tech_1_11*TblTech[[#This Row],[11-1]] + tech_6_3_2*TblTech[[#This Row],[6-3]] + tech_5_2_3*TblTech[[#This Row],[5-2]], 1-global_constr_cap) * TblConstr[[#This Row],[RCPA Lumber]],0)</f>
        <v>147</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6" s="113">
        <f ca="1">ROUNDDOWN( MAX(1 - MIN(facs_constr_factor*TblConstr[[#This Row],[Facs DB]],facs_constr_max) + tech_1_11*TblTech[[#This Row],[1-11]] + tech_6_3_2*TblTech[[#This Row],[6-3]] + tech_5_2_3*TblTech[[#This Row],[5-2]], 1-global_constr_cap) * TblConstr[[#This Row],[RCPA Lumber]],0)</f>
        <v>147</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1386</v>
      </c>
      <c r="AW136" s="113">
        <f ca="1">ROUND((MAX(TblConstr[[#This Row],[Buildings]],250,0.75*TblConstr[[#This Row],[Land]])-250) * 0.35+87.5,0)</f>
        <v>210</v>
      </c>
      <c r="AX136" s="200"/>
      <c r="AY136" s="243" cm="1">
        <f t="array" aca="1" ref="AY136" ca="1">IF(TblConstr[[#This Row],[Hour]:[Hour]]&gt;12,OFFSET(TblConstr[[#This Row],[Hom]],-12,0),0)+OFFSET(TblConstr[[#This Row],[Tot Hom]],-1,0)-TblConstr[[#This Row],[Dest Hom]]</f>
        <v>48</v>
      </c>
      <c r="AZ136" s="244" cm="1">
        <f t="array" aca="1" ref="AZ136" ca="1">IF(TblConstr[[#This Row],[Hour]:[Hour]]&gt;12,OFFSET(TblConstr[[#This Row],[Alc]],-12,0),0)+OFFSET(TblConstr[[#This Row],[Tot Alc]],-1,0)-TblConstr[[#This Row],[Dest Alc]]</f>
        <v>264</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108</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30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45</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15</v>
      </c>
      <c r="BM136" s="488" cm="1">
        <f t="array" aca="1" ref="BM136" ca="1">IF(TblConstr[[#This Row],[Hour]:[Hour]]&gt;12,OFFSET(TblConstr[[#This Row],[Tem]],-12,0),0)+OFFSET(TblConstr[[#This Row],[Tot Tem]],-1,0)-TblConstr[[#This Row],[Dest Tem]]</f>
        <v>20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20</v>
      </c>
      <c r="BR136" s="184"/>
      <c r="BS136" s="200"/>
      <c r="BT136" s="113">
        <f ca="1">TblConstr[[#This Row],[Land]]</f>
        <v>600</v>
      </c>
      <c r="BU136" s="205">
        <f ca="1">TblImps[[#This Row],[Time]]</f>
        <v>44410.24999999968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402</v>
      </c>
      <c r="DA136" s="113">
        <f ca="1">H136+SUM(T125:U136)+SUM(BD136:BE136)</f>
        <v>20</v>
      </c>
      <c r="DB136" s="49">
        <f ca="1">I136+SUM(V125:W136)+SUM(BF136:BG136)</f>
        <v>30</v>
      </c>
      <c r="DC136" s="113">
        <f ca="1">J136+SUM(X125:Y136)+SUM(BH136:BI136)</f>
        <v>45</v>
      </c>
      <c r="DD136" s="113">
        <f ca="1">K136+SUM(AB125:AD136)+SUM(BL136:BN136)</f>
        <v>35</v>
      </c>
      <c r="DE136" s="49">
        <f ca="1">L136+SUM(AE125:AE136)+BO136</f>
        <v>0</v>
      </c>
      <c r="DF136" s="113">
        <f ca="1">M136+SUM(AG125:AG136)+BQ136</f>
        <v>20</v>
      </c>
      <c r="DG136" s="113" cm="1">
        <f t="array" aca="1" ref="DG136" ca="1">INDEX(TblConstr[[Total Plain]:[Total Water]],ROW()-ROW(TblConstr[#Headers]),MATCH("Total "&amp;home_land,TblConstr[[#Headers],[Total Plain]:[Total Water]],0))+TblConstr[[#This Row],[Homes]]</f>
        <v>450</v>
      </c>
      <c r="DH136" s="49">
        <f ca="1">SUM(O125:O136)+AY136</f>
        <v>48</v>
      </c>
      <c r="DI136" s="49">
        <f ca="1">MAX(BA136-BA135,0)</f>
        <v>0</v>
      </c>
      <c r="DJ136" s="49">
        <f ca="1">MAX(BQ136-BQ135,0)</f>
        <v>0</v>
      </c>
    </row>
    <row r="1269" spans="1:2" x14ac:dyDescent="0.2">
      <c r="A1269" s="591" t="s">
        <v>327</v>
      </c>
      <c r="B1269" s="564"/>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zoomScale="85" zoomScaleNormal="85" workbookViewId="0">
      <pane ySplit="3" topLeftCell="A4" activePane="bottomLeft" state="frozenSplit"/>
      <selection activeCell="A3" sqref="A3"/>
      <selection pane="bottomLeft" activeCell="W51" sqref="W51"/>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312</v>
      </c>
      <c r="M1" s="535"/>
      <c r="N1" s="535"/>
      <c r="O1" s="535"/>
      <c r="P1" s="535"/>
      <c r="Q1" s="535"/>
      <c r="R1" s="174"/>
      <c r="S1" s="90" t="s">
        <v>366</v>
      </c>
      <c r="T1" s="90" t="s">
        <v>187</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0</v>
      </c>
      <c r="F4" s="478">
        <f ca="1">TblConstr[[#This Row],[Mountain]]</f>
        <v>20</v>
      </c>
      <c r="G4" s="482">
        <f ca="1">TblConstr[[#This Row],[Hill]]</f>
        <v>0</v>
      </c>
      <c r="H4" s="486">
        <f ca="1">TblConstr[[#This Row],[Swamp]]</f>
        <v>0</v>
      </c>
      <c r="I4" s="239">
        <f ca="1">TblConstr[[#This Row],[Cavern]]</f>
        <v>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44404.75</v>
      </c>
      <c r="AB4" s="113">
        <f ca="1">TblMili[[#This Row],[Draftees]]</f>
        <v>250</v>
      </c>
      <c r="AC4" s="113">
        <f ca="1">TblProd[[#This Row],[Platinum]]</f>
        <v>42000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49</v>
      </c>
    </row>
    <row r="5" spans="1:36" s="49" customFormat="1" x14ac:dyDescent="0.2">
      <c r="A5" s="228">
        <f>TblRezone[[#This Row],[Hour]]</f>
        <v>2</v>
      </c>
      <c r="B5" s="280">
        <f ca="1">TblConstr[[#This Row],[Land]]</f>
        <v>250</v>
      </c>
      <c r="C5" s="281"/>
      <c r="D5" s="282">
        <f ca="1">TblConstr[[#This Row],[Plain]]</f>
        <v>40</v>
      </c>
      <c r="E5" s="236">
        <f ca="1">TblConstr[[#This Row],[Forest]]</f>
        <v>0</v>
      </c>
      <c r="F5" s="478">
        <f ca="1">TblConstr[[#This Row],[Mountain]]</f>
        <v>20</v>
      </c>
      <c r="G5" s="482">
        <f ca="1">TblConstr[[#This Row],[Hill]]</f>
        <v>0</v>
      </c>
      <c r="H5" s="486">
        <f ca="1">TblConstr[[#This Row],[Swamp]]</f>
        <v>0</v>
      </c>
      <c r="I5" s="239">
        <f ca="1">TblConstr[[#This Row],[Cavern]]</f>
        <v>0</v>
      </c>
      <c r="J5" s="240">
        <f ca="1">TblConstr[[#This Row],[Water]]</f>
        <v>20</v>
      </c>
      <c r="K5" s="275"/>
      <c r="L5" s="275"/>
      <c r="M5" s="275"/>
      <c r="N5" s="283">
        <f ca="1">TblMili[[#This Row],[Smithies]]</f>
        <v>0</v>
      </c>
      <c r="O5" s="283">
        <f ca="1">TblPop[[#This Row],[Employment]]</f>
        <v>1</v>
      </c>
      <c r="P5" s="283">
        <f ca="1">TblImps[[#This Row],[Population]]</f>
        <v>0.51573316551290116</v>
      </c>
      <c r="Q5" s="228">
        <f ca="1">TblExplore[[#This Row],[Land]]</f>
        <v>250</v>
      </c>
      <c r="R5" s="228">
        <f>TblExplore[[#This Row],[Hour]]</f>
        <v>2</v>
      </c>
      <c r="S5" s="284"/>
      <c r="T5" s="232"/>
      <c r="U5" s="232"/>
      <c r="V5" s="232"/>
      <c r="W5" s="232"/>
      <c r="X5" s="232"/>
      <c r="Y5" s="232"/>
      <c r="Z5" s="232"/>
      <c r="AA5" s="205">
        <f ca="1">TblImps[[#This Row],[Real time]]</f>
        <v>44404.791666666664</v>
      </c>
      <c r="AB5" s="113">
        <f ca="1">TblMili[[#This Row],[Draftees]]</f>
        <v>263</v>
      </c>
      <c r="AC5" s="113">
        <f ca="1">TblProd[[#This Row],[Platinum]]</f>
        <v>46860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55</v>
      </c>
    </row>
    <row r="6" spans="1:36" s="49" customFormat="1" x14ac:dyDescent="0.2">
      <c r="A6" s="228">
        <f>TblRezone[[#This Row],[Hour]]</f>
        <v>3</v>
      </c>
      <c r="B6" s="280">
        <f ca="1">TblConstr[[#This Row],[Land]]</f>
        <v>250</v>
      </c>
      <c r="C6" s="281"/>
      <c r="D6" s="282">
        <f ca="1">TblConstr[[#This Row],[Plain]]</f>
        <v>40</v>
      </c>
      <c r="E6" s="236">
        <f ca="1">TblConstr[[#This Row],[Forest]]</f>
        <v>0</v>
      </c>
      <c r="F6" s="478">
        <f ca="1">TblConstr[[#This Row],[Mountain]]</f>
        <v>20</v>
      </c>
      <c r="G6" s="482">
        <f ca="1">TblConstr[[#This Row],[Hill]]</f>
        <v>0</v>
      </c>
      <c r="H6" s="486">
        <f ca="1">TblConstr[[#This Row],[Swamp]]</f>
        <v>0</v>
      </c>
      <c r="I6" s="239">
        <f ca="1">TblConstr[[#This Row],[Cavern]]</f>
        <v>0</v>
      </c>
      <c r="J6" s="240">
        <f ca="1">TblConstr[[#This Row],[Water]]</f>
        <v>20</v>
      </c>
      <c r="K6" s="275"/>
      <c r="L6" s="275"/>
      <c r="M6" s="275"/>
      <c r="N6" s="283">
        <f ca="1">TblMili[[#This Row],[Smithies]]</f>
        <v>0</v>
      </c>
      <c r="O6" s="283">
        <f ca="1">TblPop[[#This Row],[Employment]]</f>
        <v>1</v>
      </c>
      <c r="P6" s="283">
        <f ca="1">TblImps[[#This Row],[Population]]</f>
        <v>0.52800503461296411</v>
      </c>
      <c r="Q6" s="228">
        <f ca="1">TblExplore[[#This Row],[Land]]</f>
        <v>250</v>
      </c>
      <c r="R6" s="228">
        <f>TblExplore[[#This Row],[Hour]]</f>
        <v>3</v>
      </c>
      <c r="S6" s="284"/>
      <c r="T6" s="232"/>
      <c r="U6" s="232"/>
      <c r="V6" s="232"/>
      <c r="W6" s="232"/>
      <c r="X6" s="232"/>
      <c r="Y6" s="232"/>
      <c r="Z6" s="232"/>
      <c r="AA6" s="205">
        <f ca="1">TblImps[[#This Row],[Real time]]</f>
        <v>44404.833333333328</v>
      </c>
      <c r="AB6" s="113">
        <f ca="1">TblMili[[#This Row],[Draftees]]</f>
        <v>276</v>
      </c>
      <c r="AC6" s="113">
        <f ca="1">TblProd[[#This Row],[Platinum]]</f>
        <v>51790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60</v>
      </c>
    </row>
    <row r="7" spans="1:36" s="49" customFormat="1" x14ac:dyDescent="0.2">
      <c r="A7" s="228">
        <f>TblRezone[[#This Row],[Hour]]</f>
        <v>4</v>
      </c>
      <c r="B7" s="280">
        <f ca="1">TblConstr[[#This Row],[Land]]</f>
        <v>250</v>
      </c>
      <c r="C7" s="281"/>
      <c r="D7" s="282">
        <f ca="1">TblConstr[[#This Row],[Plain]]</f>
        <v>40</v>
      </c>
      <c r="E7" s="236">
        <f ca="1">TblConstr[[#This Row],[Forest]]</f>
        <v>0</v>
      </c>
      <c r="F7" s="478">
        <f ca="1">TblConstr[[#This Row],[Mountain]]</f>
        <v>20</v>
      </c>
      <c r="G7" s="482">
        <f ca="1">TblConstr[[#This Row],[Hill]]</f>
        <v>0</v>
      </c>
      <c r="H7" s="486">
        <f ca="1">TblConstr[[#This Row],[Swamp]]</f>
        <v>0</v>
      </c>
      <c r="I7" s="239">
        <f ca="1">TblConstr[[#This Row],[Cavern]]</f>
        <v>0</v>
      </c>
      <c r="J7" s="240">
        <f ca="1">TblConstr[[#This Row],[Water]]</f>
        <v>20</v>
      </c>
      <c r="K7" s="275"/>
      <c r="L7" s="275"/>
      <c r="M7" s="275"/>
      <c r="N7" s="283">
        <f ca="1">TblMili[[#This Row],[Smithies]]</f>
        <v>0</v>
      </c>
      <c r="O7" s="283">
        <f ca="1">TblPop[[#This Row],[Employment]]</f>
        <v>1</v>
      </c>
      <c r="P7" s="283">
        <f ca="1">TblImps[[#This Row],[Population]]</f>
        <v>0.54059156702328504</v>
      </c>
      <c r="Q7" s="228">
        <f ca="1">TblExplore[[#This Row],[Land]]</f>
        <v>250</v>
      </c>
      <c r="R7" s="228">
        <f>TblExplore[[#This Row],[Hour]]</f>
        <v>4</v>
      </c>
      <c r="S7" s="284"/>
      <c r="T7" s="204"/>
      <c r="U7" s="232"/>
      <c r="V7" s="232"/>
      <c r="W7" s="232"/>
      <c r="X7" s="232"/>
      <c r="Y7" s="232"/>
      <c r="Z7" s="232"/>
      <c r="AA7" s="205">
        <f ca="1">TblImps[[#This Row],[Real time]]</f>
        <v>44404.874999999993</v>
      </c>
      <c r="AB7" s="113">
        <f ca="1">TblMili[[#This Row],[Draftees]]</f>
        <v>290</v>
      </c>
      <c r="AC7" s="113">
        <f ca="1">TblProd[[#This Row],[Platinum]]</f>
        <v>56790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66</v>
      </c>
    </row>
    <row r="8" spans="1:36" s="49" customFormat="1" x14ac:dyDescent="0.2">
      <c r="A8" s="228">
        <f>TblRezone[[#This Row],[Hour]]</f>
        <v>5</v>
      </c>
      <c r="B8" s="280">
        <f ca="1">TblConstr[[#This Row],[Land]]</f>
        <v>250</v>
      </c>
      <c r="C8" s="281"/>
      <c r="D8" s="282">
        <f ca="1">TblConstr[[#This Row],[Plain]]</f>
        <v>40</v>
      </c>
      <c r="E8" s="236">
        <f ca="1">TblConstr[[#This Row],[Forest]]</f>
        <v>0</v>
      </c>
      <c r="F8" s="478">
        <f ca="1">TblConstr[[#This Row],[Mountain]]</f>
        <v>20</v>
      </c>
      <c r="G8" s="482">
        <f ca="1">TblConstr[[#This Row],[Hill]]</f>
        <v>0</v>
      </c>
      <c r="H8" s="486">
        <f ca="1">TblConstr[[#This Row],[Swamp]]</f>
        <v>0</v>
      </c>
      <c r="I8" s="239">
        <f ca="1">TblConstr[[#This Row],[Cavern]]</f>
        <v>0</v>
      </c>
      <c r="J8" s="240">
        <f ca="1">TblConstr[[#This Row],[Water]]</f>
        <v>20</v>
      </c>
      <c r="K8" s="275"/>
      <c r="L8" s="275"/>
      <c r="M8" s="275"/>
      <c r="N8" s="283">
        <f ca="1">TblMili[[#This Row],[Smithies]]</f>
        <v>0</v>
      </c>
      <c r="O8" s="283">
        <f ca="1">TblPop[[#This Row],[Employment]]</f>
        <v>1</v>
      </c>
      <c r="P8" s="283">
        <f ca="1">TblImps[[#This Row],[Population]]</f>
        <v>0.55349276274386405</v>
      </c>
      <c r="Q8" s="228">
        <f ca="1">TblExplore[[#This Row],[Land]]</f>
        <v>250</v>
      </c>
      <c r="R8" s="228">
        <f>TblExplore[[#This Row],[Hour]]</f>
        <v>5</v>
      </c>
      <c r="S8" s="284"/>
      <c r="T8" s="204"/>
      <c r="U8" s="232"/>
      <c r="V8" s="232"/>
      <c r="W8" s="232"/>
      <c r="X8" s="232"/>
      <c r="Y8" s="232"/>
      <c r="Z8" s="232"/>
      <c r="AA8" s="205">
        <f ca="1">TblImps[[#This Row],[Real time]]</f>
        <v>44404.916666666657</v>
      </c>
      <c r="AB8" s="113">
        <f ca="1">TblMili[[#This Row],[Draftees]]</f>
        <v>304</v>
      </c>
      <c r="AC8" s="113">
        <f ca="1">TblProd[[#This Row],[Platinum]]</f>
        <v>61860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72</v>
      </c>
    </row>
    <row r="9" spans="1:36" s="49" customFormat="1" x14ac:dyDescent="0.2">
      <c r="A9" s="228">
        <f>TblRezone[[#This Row],[Hour]]</f>
        <v>6</v>
      </c>
      <c r="B9" s="280">
        <f ca="1">TblConstr[[#This Row],[Land]]</f>
        <v>250</v>
      </c>
      <c r="C9" s="281"/>
      <c r="D9" s="282">
        <f ca="1">TblConstr[[#This Row],[Plain]]</f>
        <v>40</v>
      </c>
      <c r="E9" s="236">
        <f ca="1">TblConstr[[#This Row],[Forest]]</f>
        <v>0</v>
      </c>
      <c r="F9" s="478">
        <f ca="1">TblConstr[[#This Row],[Mountain]]</f>
        <v>20</v>
      </c>
      <c r="G9" s="482">
        <f ca="1">TblConstr[[#This Row],[Hill]]</f>
        <v>0</v>
      </c>
      <c r="H9" s="486">
        <f ca="1">TblConstr[[#This Row],[Swamp]]</f>
        <v>0</v>
      </c>
      <c r="I9" s="239">
        <f ca="1">TblConstr[[#This Row],[Cavern]]</f>
        <v>0</v>
      </c>
      <c r="J9" s="240">
        <f ca="1">TblConstr[[#This Row],[Water]]</f>
        <v>20</v>
      </c>
      <c r="K9" s="275"/>
      <c r="L9" s="275"/>
      <c r="M9" s="275"/>
      <c r="N9" s="283">
        <f ca="1">TblMili[[#This Row],[Smithies]]</f>
        <v>0</v>
      </c>
      <c r="O9" s="283">
        <f ca="1">TblPop[[#This Row],[Employment]]</f>
        <v>1</v>
      </c>
      <c r="P9" s="283">
        <f ca="1">TblImps[[#This Row],[Population]]</f>
        <v>0.56670862177470105</v>
      </c>
      <c r="Q9" s="228">
        <f ca="1">TblExplore[[#This Row],[Land]]</f>
        <v>250</v>
      </c>
      <c r="R9" s="228">
        <f>TblExplore[[#This Row],[Hour]]</f>
        <v>6</v>
      </c>
      <c r="S9" s="284"/>
      <c r="T9" s="232"/>
      <c r="U9" s="232"/>
      <c r="V9" s="232"/>
      <c r="W9" s="232"/>
      <c r="X9" s="232"/>
      <c r="Y9" s="232"/>
      <c r="Z9" s="232"/>
      <c r="AA9" s="205">
        <f ca="1">TblImps[[#This Row],[Real time]]</f>
        <v>44404.958333333321</v>
      </c>
      <c r="AB9" s="113">
        <f ca="1">TblMili[[#This Row],[Draftees]]</f>
        <v>318</v>
      </c>
      <c r="AC9" s="113">
        <f ca="1">TblProd[[#This Row],[Platinum]]</f>
        <v>67003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78</v>
      </c>
    </row>
    <row r="10" spans="1:36" s="49" customFormat="1" x14ac:dyDescent="0.2">
      <c r="A10" s="228">
        <f>TblRezone[[#This Row],[Hour]]</f>
        <v>7</v>
      </c>
      <c r="B10" s="280">
        <f ca="1">TblConstr[[#This Row],[Land]]</f>
        <v>250</v>
      </c>
      <c r="C10" s="281"/>
      <c r="D10" s="282">
        <f ca="1">TblConstr[[#This Row],[Plain]]</f>
        <v>40</v>
      </c>
      <c r="E10" s="236">
        <f ca="1">TblConstr[[#This Row],[Forest]]</f>
        <v>0</v>
      </c>
      <c r="F10" s="478">
        <f ca="1">TblConstr[[#This Row],[Mountain]]</f>
        <v>20</v>
      </c>
      <c r="G10" s="482">
        <f ca="1">TblConstr[[#This Row],[Hill]]</f>
        <v>0</v>
      </c>
      <c r="H10" s="486">
        <f ca="1">TblConstr[[#This Row],[Swamp]]</f>
        <v>0</v>
      </c>
      <c r="I10" s="239">
        <f ca="1">TblConstr[[#This Row],[Cavern]]</f>
        <v>0</v>
      </c>
      <c r="J10" s="240">
        <f ca="1">TblConstr[[#This Row],[Water]]</f>
        <v>20</v>
      </c>
      <c r="K10" s="275"/>
      <c r="L10" s="275"/>
      <c r="M10" s="275"/>
      <c r="N10" s="283">
        <f ca="1">TblMili[[#This Row],[Smithies]]</f>
        <v>0</v>
      </c>
      <c r="O10" s="283">
        <f ca="1">TblPop[[#This Row],[Employment]]</f>
        <v>1</v>
      </c>
      <c r="P10" s="283">
        <f ca="1">TblImps[[#This Row],[Population]]</f>
        <v>0.58023914411579613</v>
      </c>
      <c r="Q10" s="228">
        <f ca="1">TblExplore[[#This Row],[Land]]</f>
        <v>250</v>
      </c>
      <c r="R10" s="228">
        <f>TblExplore[[#This Row],[Hour]]</f>
        <v>7</v>
      </c>
      <c r="S10" s="284"/>
      <c r="T10" s="232"/>
      <c r="U10" s="232"/>
      <c r="V10" s="232"/>
      <c r="W10" s="232"/>
      <c r="X10" s="232"/>
      <c r="Y10" s="232"/>
      <c r="Z10" s="232"/>
      <c r="AA10" s="205">
        <f ca="1">TblImps[[#This Row],[Real time]]</f>
        <v>44404.999999999985</v>
      </c>
      <c r="AB10" s="113">
        <f ca="1">TblMili[[#This Row],[Draftees]]</f>
        <v>332</v>
      </c>
      <c r="AC10" s="113">
        <f ca="1">TblProd[[#This Row],[Platinum]]</f>
        <v>72222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83</v>
      </c>
    </row>
    <row r="11" spans="1:36" s="49" customFormat="1" x14ac:dyDescent="0.2">
      <c r="A11" s="228">
        <f>TblRezone[[#This Row],[Hour]]</f>
        <v>8</v>
      </c>
      <c r="B11" s="280">
        <f ca="1">TblConstr[[#This Row],[Land]]</f>
        <v>250</v>
      </c>
      <c r="C11" s="281"/>
      <c r="D11" s="282">
        <f ca="1">TblConstr[[#This Row],[Plain]]</f>
        <v>40</v>
      </c>
      <c r="E11" s="236">
        <f ca="1">TblConstr[[#This Row],[Forest]]</f>
        <v>0</v>
      </c>
      <c r="F11" s="478">
        <f ca="1">TblConstr[[#This Row],[Mountain]]</f>
        <v>20</v>
      </c>
      <c r="G11" s="482">
        <f ca="1">TblConstr[[#This Row],[Hill]]</f>
        <v>0</v>
      </c>
      <c r="H11" s="486">
        <f ca="1">TblConstr[[#This Row],[Swamp]]</f>
        <v>0</v>
      </c>
      <c r="I11" s="239">
        <f ca="1">TblConstr[[#This Row],[Cavern]]</f>
        <v>0</v>
      </c>
      <c r="J11" s="240">
        <f ca="1">TblConstr[[#This Row],[Water]]</f>
        <v>20</v>
      </c>
      <c r="K11" s="275"/>
      <c r="L11" s="275"/>
      <c r="M11" s="275"/>
      <c r="N11" s="283">
        <f ca="1">TblMili[[#This Row],[Smithies]]</f>
        <v>0</v>
      </c>
      <c r="O11" s="283">
        <f ca="1">TblPop[[#This Row],[Employment]]</f>
        <v>1</v>
      </c>
      <c r="P11" s="283">
        <f ca="1">TblImps[[#This Row],[Population]]</f>
        <v>0.59376966645689111</v>
      </c>
      <c r="Q11" s="228">
        <f ca="1">TblExplore[[#This Row],[Land]]</f>
        <v>250</v>
      </c>
      <c r="R11" s="228">
        <f>TblExplore[[#This Row],[Hour]]</f>
        <v>8</v>
      </c>
      <c r="S11" s="284"/>
      <c r="T11" s="232"/>
      <c r="U11" s="232"/>
      <c r="V11" s="232"/>
      <c r="W11" s="232"/>
      <c r="X11" s="232"/>
      <c r="Y11" s="232"/>
      <c r="Z11" s="232"/>
      <c r="AA11" s="205">
        <f ca="1">TblImps[[#This Row],[Real time]]</f>
        <v>44405.04166666665</v>
      </c>
      <c r="AB11" s="113">
        <f ca="1">TblMili[[#This Row],[Draftees]]</f>
        <v>347</v>
      </c>
      <c r="AC11" s="113">
        <f ca="1">TblProd[[#This Row],[Platinum]]</f>
        <v>77519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86</v>
      </c>
    </row>
    <row r="12" spans="1:36" s="49" customFormat="1" x14ac:dyDescent="0.2">
      <c r="A12" s="228">
        <f>TblRezone[[#This Row],[Hour]]</f>
        <v>9</v>
      </c>
      <c r="B12" s="280">
        <f ca="1">TblConstr[[#This Row],[Land]]</f>
        <v>250</v>
      </c>
      <c r="C12" s="281"/>
      <c r="D12" s="282">
        <f ca="1">TblConstr[[#This Row],[Plain]]</f>
        <v>40</v>
      </c>
      <c r="E12" s="236">
        <f ca="1">TblConstr[[#This Row],[Forest]]</f>
        <v>0</v>
      </c>
      <c r="F12" s="478">
        <f ca="1">TblConstr[[#This Row],[Mountain]]</f>
        <v>20</v>
      </c>
      <c r="G12" s="482">
        <f ca="1">TblConstr[[#This Row],[Hill]]</f>
        <v>0</v>
      </c>
      <c r="H12" s="486">
        <f ca="1">TblConstr[[#This Row],[Swamp]]</f>
        <v>0</v>
      </c>
      <c r="I12" s="239">
        <f ca="1">TblConstr[[#This Row],[Cavern]]</f>
        <v>0</v>
      </c>
      <c r="J12" s="240">
        <f ca="1">TblConstr[[#This Row],[Water]]</f>
        <v>20</v>
      </c>
      <c r="K12" s="275"/>
      <c r="L12" s="275"/>
      <c r="M12" s="275"/>
      <c r="N12" s="283">
        <f ca="1">TblMili[[#This Row],[Smithies]]</f>
        <v>0</v>
      </c>
      <c r="O12" s="283">
        <f ca="1">TblPop[[#This Row],[Employment]]</f>
        <v>1</v>
      </c>
      <c r="P12" s="283">
        <f ca="1">TblImps[[#This Row],[Population]]</f>
        <v>0.60761485210824417</v>
      </c>
      <c r="Q12" s="228">
        <f ca="1">TblExplore[[#This Row],[Land]]</f>
        <v>250</v>
      </c>
      <c r="R12" s="228">
        <f>TblExplore[[#This Row],[Hour]]</f>
        <v>9</v>
      </c>
      <c r="S12" s="284"/>
      <c r="T12" s="232"/>
      <c r="U12" s="232"/>
      <c r="V12" s="232"/>
      <c r="W12" s="232"/>
      <c r="X12" s="232"/>
      <c r="Y12" s="232"/>
      <c r="Z12" s="232"/>
      <c r="AA12" s="205">
        <f ca="1">TblImps[[#This Row],[Real time]]</f>
        <v>44405.083333333314</v>
      </c>
      <c r="AB12" s="113">
        <f ca="1">TblMili[[#This Row],[Draftees]]</f>
        <v>362</v>
      </c>
      <c r="AC12" s="113">
        <f ca="1">TblProd[[#This Row],[Platinum]]</f>
        <v>82892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90</v>
      </c>
    </row>
    <row r="13" spans="1:36" s="49" customFormat="1" x14ac:dyDescent="0.2">
      <c r="A13" s="228">
        <f>TblRezone[[#This Row],[Hour]]</f>
        <v>10</v>
      </c>
      <c r="B13" s="280">
        <f ca="1">TblConstr[[#This Row],[Land]]</f>
        <v>250</v>
      </c>
      <c r="C13" s="281"/>
      <c r="D13" s="282">
        <f ca="1">TblConstr[[#This Row],[Plain]]</f>
        <v>40</v>
      </c>
      <c r="E13" s="236">
        <f ca="1">TblConstr[[#This Row],[Forest]]</f>
        <v>0</v>
      </c>
      <c r="F13" s="478">
        <f ca="1">TblConstr[[#This Row],[Mountain]]</f>
        <v>20</v>
      </c>
      <c r="G13" s="482">
        <f ca="1">TblConstr[[#This Row],[Hill]]</f>
        <v>0</v>
      </c>
      <c r="H13" s="486">
        <f ca="1">TblConstr[[#This Row],[Swamp]]</f>
        <v>0</v>
      </c>
      <c r="I13" s="239">
        <f ca="1">TblConstr[[#This Row],[Cavern]]</f>
        <v>0</v>
      </c>
      <c r="J13" s="240">
        <f ca="1">TblConstr[[#This Row],[Water]]</f>
        <v>20</v>
      </c>
      <c r="K13" s="275"/>
      <c r="L13" s="275"/>
      <c r="M13" s="275"/>
      <c r="N13" s="283">
        <f ca="1">TblMili[[#This Row],[Smithies]]</f>
        <v>0</v>
      </c>
      <c r="O13" s="283">
        <f ca="1">TblPop[[#This Row],[Employment]]</f>
        <v>1</v>
      </c>
      <c r="P13" s="283">
        <f ca="1">TblImps[[#This Row],[Population]]</f>
        <v>0.62177470106985522</v>
      </c>
      <c r="Q13" s="228">
        <f ca="1">TblExplore[[#This Row],[Land]]</f>
        <v>250</v>
      </c>
      <c r="R13" s="228">
        <f>TblExplore[[#This Row],[Hour]]</f>
        <v>10</v>
      </c>
      <c r="S13" s="284"/>
      <c r="T13" s="232"/>
      <c r="U13" s="232"/>
      <c r="V13" s="232"/>
      <c r="W13" s="232"/>
      <c r="X13" s="232"/>
      <c r="Y13" s="232"/>
      <c r="Z13" s="232"/>
      <c r="AA13" s="205">
        <f ca="1">TblImps[[#This Row],[Real time]]</f>
        <v>44405.124999999978</v>
      </c>
      <c r="AB13" s="113">
        <f ca="1">TblMili[[#This Row],[Draftees]]</f>
        <v>377</v>
      </c>
      <c r="AC13" s="113">
        <f ca="1">TblProd[[#This Row],[Platinum]]</f>
        <v>88343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94</v>
      </c>
    </row>
    <row r="14" spans="1:36" s="49" customFormat="1" x14ac:dyDescent="0.2">
      <c r="A14" s="228">
        <f>TblRezone[[#This Row],[Hour]]</f>
        <v>11</v>
      </c>
      <c r="B14" s="280">
        <f ca="1">TblConstr[[#This Row],[Land]]</f>
        <v>250</v>
      </c>
      <c r="C14" s="281"/>
      <c r="D14" s="282">
        <f ca="1">TblConstr[[#This Row],[Plain]]</f>
        <v>40</v>
      </c>
      <c r="E14" s="236">
        <f ca="1">TblConstr[[#This Row],[Forest]]</f>
        <v>0</v>
      </c>
      <c r="F14" s="478">
        <f ca="1">TblConstr[[#This Row],[Mountain]]</f>
        <v>20</v>
      </c>
      <c r="G14" s="482">
        <f ca="1">TblConstr[[#This Row],[Hill]]</f>
        <v>0</v>
      </c>
      <c r="H14" s="486">
        <f ca="1">TblConstr[[#This Row],[Swamp]]</f>
        <v>0</v>
      </c>
      <c r="I14" s="239">
        <f ca="1">TblConstr[[#This Row],[Cavern]]</f>
        <v>0</v>
      </c>
      <c r="J14" s="240">
        <f ca="1">TblConstr[[#This Row],[Water]]</f>
        <v>20</v>
      </c>
      <c r="K14" s="275"/>
      <c r="L14" s="275"/>
      <c r="M14" s="275"/>
      <c r="N14" s="283">
        <f ca="1">TblMili[[#This Row],[Smithies]]</f>
        <v>0</v>
      </c>
      <c r="O14" s="283">
        <f ca="1">TblPop[[#This Row],[Employment]]</f>
        <v>1</v>
      </c>
      <c r="P14" s="283">
        <f ca="1">TblImps[[#This Row],[Population]]</f>
        <v>0.63624921334172435</v>
      </c>
      <c r="Q14" s="228">
        <f ca="1">TblExplore[[#This Row],[Land]]</f>
        <v>250</v>
      </c>
      <c r="R14" s="228">
        <f>TblExplore[[#This Row],[Hour]]</f>
        <v>11</v>
      </c>
      <c r="S14" s="284"/>
      <c r="T14" s="232"/>
      <c r="U14" s="232"/>
      <c r="V14" s="232"/>
      <c r="W14" s="232"/>
      <c r="X14" s="232"/>
      <c r="Y14" s="232"/>
      <c r="Z14" s="232"/>
      <c r="AA14" s="205">
        <f ca="1">TblImps[[#This Row],[Real time]]</f>
        <v>44405.166666666642</v>
      </c>
      <c r="AB14" s="113">
        <f ca="1">TblMili[[#This Row],[Draftees]]</f>
        <v>392</v>
      </c>
      <c r="AC14" s="113">
        <f ca="1">TblProd[[#This Row],[Platinum]]</f>
        <v>93875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98</v>
      </c>
    </row>
    <row r="15" spans="1:36" s="49" customFormat="1" x14ac:dyDescent="0.2">
      <c r="A15" s="228">
        <f>TblRezone[[#This Row],[Hour]]</f>
        <v>12</v>
      </c>
      <c r="B15" s="280">
        <f ca="1">TblConstr[[#This Row],[Land]]</f>
        <v>250</v>
      </c>
      <c r="C15" s="281"/>
      <c r="D15" s="282">
        <f ca="1">TblConstr[[#This Row],[Plain]]</f>
        <v>40</v>
      </c>
      <c r="E15" s="236">
        <f ca="1">TblConstr[[#This Row],[Forest]]</f>
        <v>0</v>
      </c>
      <c r="F15" s="478">
        <f ca="1">TblConstr[[#This Row],[Mountain]]</f>
        <v>20</v>
      </c>
      <c r="G15" s="482">
        <f ca="1">TblConstr[[#This Row],[Hill]]</f>
        <v>0</v>
      </c>
      <c r="H15" s="486">
        <f ca="1">TblConstr[[#This Row],[Swamp]]</f>
        <v>0</v>
      </c>
      <c r="I15" s="239">
        <f ca="1">TblConstr[[#This Row],[Cavern]]</f>
        <v>0</v>
      </c>
      <c r="J15" s="240">
        <f ca="1">TblConstr[[#This Row],[Water]]</f>
        <v>20</v>
      </c>
      <c r="K15" s="275"/>
      <c r="L15" s="275"/>
      <c r="M15" s="285"/>
      <c r="N15" s="283">
        <f ca="1">TblMili[[#This Row],[Smithies]]</f>
        <v>0</v>
      </c>
      <c r="O15" s="283">
        <f ca="1">TblPop[[#This Row],[Employment]]</f>
        <v>1</v>
      </c>
      <c r="P15" s="283">
        <f ca="1">TblImps[[#This Row],[Population]]</f>
        <v>0.65103838892385146</v>
      </c>
      <c r="Q15" s="228">
        <f ca="1">TblExplore[[#This Row],[Land]]</f>
        <v>250</v>
      </c>
      <c r="R15" s="228">
        <f>TblExplore[[#This Row],[Hour]]</f>
        <v>12</v>
      </c>
      <c r="S15" s="284"/>
      <c r="T15" s="204"/>
      <c r="U15" s="232"/>
      <c r="V15" s="232"/>
      <c r="W15" s="232"/>
      <c r="X15" s="232"/>
      <c r="Y15" s="232"/>
      <c r="Z15" s="232"/>
      <c r="AA15" s="205">
        <f ca="1">TblImps[[#This Row],[Real time]]</f>
        <v>44405.208333333307</v>
      </c>
      <c r="AB15" s="113">
        <f ca="1">TblMili[[#This Row],[Draftees]]</f>
        <v>408</v>
      </c>
      <c r="AC15" s="113">
        <f ca="1">TblProd[[#This Row],[Platinum]]</f>
        <v>99491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102</v>
      </c>
    </row>
    <row r="16" spans="1:36" s="49" customFormat="1" x14ac:dyDescent="0.2">
      <c r="A16" s="228">
        <f>TblRezone[[#This Row],[Hour]]</f>
        <v>13</v>
      </c>
      <c r="B16" s="280">
        <f ca="1">TblConstr[[#This Row],[Land]]</f>
        <v>250</v>
      </c>
      <c r="C16" s="281"/>
      <c r="D16" s="282">
        <f ca="1">TblConstr[[#This Row],[Plain]]</f>
        <v>0</v>
      </c>
      <c r="E16" s="236">
        <f ca="1">TblConstr[[#This Row],[Forest]]</f>
        <v>0</v>
      </c>
      <c r="F16" s="478">
        <f ca="1">TblConstr[[#This Row],[Mountain]]</f>
        <v>0</v>
      </c>
      <c r="G16" s="482">
        <f ca="1">TblConstr[[#This Row],[Hill]]</f>
        <v>0</v>
      </c>
      <c r="H16" s="486">
        <f ca="1">TblConstr[[#This Row],[Swamp]]</f>
        <v>0</v>
      </c>
      <c r="I16" s="239">
        <f ca="1">TblConstr[[#This Row],[Cavern]]</f>
        <v>0</v>
      </c>
      <c r="J16" s="240">
        <f ca="1">TblConstr[[#This Row],[Water]]</f>
        <v>0</v>
      </c>
      <c r="K16" s="275"/>
      <c r="L16" s="286" t="s">
        <v>393</v>
      </c>
      <c r="M16" s="286"/>
      <c r="N16" s="283">
        <f ca="1">TblMili[[#This Row],[Smithies]]</f>
        <v>0</v>
      </c>
      <c r="O16" s="283">
        <f ca="1">TblPop[[#This Row],[Employment]]</f>
        <v>1</v>
      </c>
      <c r="P16" s="283">
        <f ca="1">TblImps[[#This Row],[Population]]</f>
        <v>0.63687853996224042</v>
      </c>
      <c r="Q16" s="228">
        <f ca="1">TblExplore[[#This Row],[Land]]</f>
        <v>250</v>
      </c>
      <c r="R16" s="228">
        <f>TblExplore[[#This Row],[Hour]]</f>
        <v>13</v>
      </c>
      <c r="S16" s="284"/>
      <c r="T16" s="232">
        <v>29</v>
      </c>
      <c r="U16" s="232"/>
      <c r="V16" s="232"/>
      <c r="W16" s="232"/>
      <c r="X16" s="232"/>
      <c r="Y16" s="232"/>
      <c r="Z16" s="232"/>
      <c r="AA16" s="205">
        <f ca="1">TblImps[[#This Row],[Real time]]</f>
        <v>44405.249999999971</v>
      </c>
      <c r="AB16" s="113">
        <f ca="1">TblMili[[#This Row],[Draftees]]</f>
        <v>308</v>
      </c>
      <c r="AC16" s="113">
        <f ca="1">TblProd[[#This Row],[Platinum]]</f>
        <v>53340</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24650</v>
      </c>
      <c r="AI16" s="113">
        <f ca="1">SUM(TblExplore[[#This Row],[Plains Explore]:[Water Explore]])*TblExplore[[#This Row],[Draftees/acre]]</f>
        <v>116</v>
      </c>
      <c r="AJ16" s="49">
        <f ca="1">_xlfn.FLOOR.MATH(MIN(TblExplore[[#This Row],[Platinum]]/TblExplore[[#This Row],[Plat/acre]],TblExplore[[#This Row],[Draftees]]/TblExplore[[#This Row],[Draftees/acre]]))</f>
        <v>62</v>
      </c>
    </row>
    <row r="17" spans="1:36" s="49" customFormat="1" x14ac:dyDescent="0.2">
      <c r="A17" s="228">
        <f>TblRezone[[#This Row],[Hour]]</f>
        <v>14</v>
      </c>
      <c r="B17" s="280">
        <f ca="1">TblConstr[[#This Row],[Land]]</f>
        <v>250</v>
      </c>
      <c r="C17" s="281"/>
      <c r="D17" s="282">
        <f ca="1">TblConstr[[#This Row],[Plain]]</f>
        <v>0</v>
      </c>
      <c r="E17" s="236">
        <f ca="1">TblConstr[[#This Row],[Forest]]</f>
        <v>0</v>
      </c>
      <c r="F17" s="478">
        <f ca="1">TblConstr[[#This Row],[Mountain]]</f>
        <v>0</v>
      </c>
      <c r="G17" s="482">
        <f ca="1">TblConstr[[#This Row],[Hill]]</f>
        <v>0</v>
      </c>
      <c r="H17" s="486">
        <f ca="1">TblConstr[[#This Row],[Swamp]]</f>
        <v>0</v>
      </c>
      <c r="I17" s="239">
        <f ca="1">TblConstr[[#This Row],[Cavern]]</f>
        <v>0</v>
      </c>
      <c r="J17" s="240">
        <f ca="1">TblConstr[[#This Row],[Water]]</f>
        <v>0</v>
      </c>
      <c r="K17" s="275"/>
      <c r="L17" s="287" t="s">
        <v>380</v>
      </c>
      <c r="M17" s="288"/>
      <c r="N17" s="283">
        <f ca="1">TblMili[[#This Row],[Smithies]]</f>
        <v>0</v>
      </c>
      <c r="O17" s="283">
        <f ca="1">TblPop[[#This Row],[Employment]]</f>
        <v>1</v>
      </c>
      <c r="P17" s="283">
        <f ca="1">TblImps[[#This Row],[Population]]</f>
        <v>0.52451225612806407</v>
      </c>
      <c r="Q17" s="228">
        <f ca="1">TblExplore[[#This Row],[Land]]</f>
        <v>250</v>
      </c>
      <c r="R17" s="228">
        <f>TblExplore[[#This Row],[Hour]]</f>
        <v>14</v>
      </c>
      <c r="S17" s="284"/>
      <c r="T17" s="232"/>
      <c r="U17" s="232"/>
      <c r="V17" s="232"/>
      <c r="W17" s="232"/>
      <c r="X17" s="232"/>
      <c r="Y17" s="232"/>
      <c r="Z17" s="232"/>
      <c r="AA17" s="205">
        <f ca="1">TblImps[[#This Row],[Real time]]</f>
        <v>44405.291666666635</v>
      </c>
      <c r="AB17" s="113">
        <f ca="1">TblMili[[#This Row],[Draftees]]</f>
        <v>325</v>
      </c>
      <c r="AC17" s="113">
        <f ca="1">TblProd[[#This Row],[Platinum]]</f>
        <v>59188</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69</v>
      </c>
    </row>
    <row r="18" spans="1:36" s="49" customFormat="1" x14ac:dyDescent="0.2">
      <c r="A18" s="228">
        <f>TblRezone[[#This Row],[Hour]]</f>
        <v>15</v>
      </c>
      <c r="B18" s="280">
        <f ca="1">TblConstr[[#This Row],[Land]]</f>
        <v>250</v>
      </c>
      <c r="C18" s="281"/>
      <c r="D18" s="282">
        <f ca="1">TblConstr[[#This Row],[Plain]]</f>
        <v>0</v>
      </c>
      <c r="E18" s="236">
        <f ca="1">TblConstr[[#This Row],[Forest]]</f>
        <v>0</v>
      </c>
      <c r="F18" s="478">
        <f ca="1">TblConstr[[#This Row],[Mountain]]</f>
        <v>0</v>
      </c>
      <c r="G18" s="482">
        <f ca="1">TblConstr[[#This Row],[Hill]]</f>
        <v>0</v>
      </c>
      <c r="H18" s="486">
        <f ca="1">TblConstr[[#This Row],[Swamp]]</f>
        <v>0</v>
      </c>
      <c r="I18" s="239">
        <f ca="1">TblConstr[[#This Row],[Cavern]]</f>
        <v>0</v>
      </c>
      <c r="J18" s="240">
        <f ca="1">TblConstr[[#This Row],[Water]]</f>
        <v>0</v>
      </c>
      <c r="K18" s="275"/>
      <c r="L18" s="287" t="s">
        <v>379</v>
      </c>
      <c r="M18" s="288"/>
      <c r="N18" s="283">
        <f ca="1">TblMili[[#This Row],[Smithies]]</f>
        <v>0</v>
      </c>
      <c r="O18" s="283">
        <f ca="1">TblPop[[#This Row],[Employment]]</f>
        <v>1</v>
      </c>
      <c r="P18" s="283">
        <f ca="1">TblImps[[#This Row],[Population]]</f>
        <v>0.54977488744372183</v>
      </c>
      <c r="Q18" s="228">
        <f ca="1">TblExplore[[#This Row],[Land]]</f>
        <v>250</v>
      </c>
      <c r="R18" s="228">
        <f>TblExplore[[#This Row],[Hour]]</f>
        <v>15</v>
      </c>
      <c r="S18" s="284"/>
      <c r="T18" s="232"/>
      <c r="U18" s="232"/>
      <c r="V18" s="232"/>
      <c r="W18" s="232"/>
      <c r="X18" s="232"/>
      <c r="Y18" s="232"/>
      <c r="Z18" s="232"/>
      <c r="AA18" s="205">
        <f ca="1">TblImps[[#This Row],[Real time]]</f>
        <v>44405.333333333299</v>
      </c>
      <c r="AB18" s="113">
        <f ca="1">TblMili[[#This Row],[Draftees]]</f>
        <v>342</v>
      </c>
      <c r="AC18" s="113">
        <f ca="1">TblProd[[#This Row],[Platinum]]</f>
        <v>65187</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0</v>
      </c>
      <c r="E19" s="236">
        <f ca="1">TblConstr[[#This Row],[Forest]]</f>
        <v>0</v>
      </c>
      <c r="F19" s="478">
        <f ca="1">TblConstr[[#This Row],[Mountain]]</f>
        <v>0</v>
      </c>
      <c r="G19" s="482">
        <f ca="1">TblConstr[[#This Row],[Hill]]</f>
        <v>0</v>
      </c>
      <c r="H19" s="486">
        <f ca="1">TblConstr[[#This Row],[Swamp]]</f>
        <v>0</v>
      </c>
      <c r="I19" s="239">
        <f ca="1">TblConstr[[#This Row],[Cavern]]</f>
        <v>0</v>
      </c>
      <c r="J19" s="240">
        <f ca="1">TblConstr[[#This Row],[Water]]</f>
        <v>0</v>
      </c>
      <c r="K19" s="275"/>
      <c r="L19" s="287" t="s">
        <v>377</v>
      </c>
      <c r="M19" s="288"/>
      <c r="N19" s="283">
        <f ca="1">TblMili[[#This Row],[Smithies]]</f>
        <v>0</v>
      </c>
      <c r="O19" s="283">
        <f ca="1">TblPop[[#This Row],[Employment]]</f>
        <v>1</v>
      </c>
      <c r="P19" s="283">
        <f ca="1">TblImps[[#This Row],[Population]]</f>
        <v>0.57628814407203599</v>
      </c>
      <c r="Q19" s="228">
        <f ca="1">TblExplore[[#This Row],[Land]]</f>
        <v>250</v>
      </c>
      <c r="R19" s="228">
        <f>TblExplore[[#This Row],[Hour]]</f>
        <v>16</v>
      </c>
      <c r="S19" s="284"/>
      <c r="T19" s="204"/>
      <c r="U19" s="232"/>
      <c r="V19" s="232"/>
      <c r="W19" s="232"/>
      <c r="X19" s="232"/>
      <c r="Y19" s="232"/>
      <c r="Z19" s="232"/>
      <c r="AA19" s="205">
        <f ca="1">TblImps[[#This Row],[Real time]]</f>
        <v>44405.374999999964</v>
      </c>
      <c r="AB19" s="113">
        <f ca="1">TblMili[[#This Row],[Draftees]]</f>
        <v>360</v>
      </c>
      <c r="AC19" s="113">
        <f ca="1">TblProd[[#This Row],[Platinum]]</f>
        <v>71413</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84</v>
      </c>
    </row>
    <row r="20" spans="1:36" s="49" customFormat="1" x14ac:dyDescent="0.2">
      <c r="A20" s="228">
        <f>TblRezone[[#This Row],[Hour]]</f>
        <v>17</v>
      </c>
      <c r="B20" s="280">
        <f ca="1">TblConstr[[#This Row],[Land]]</f>
        <v>250</v>
      </c>
      <c r="C20" s="281"/>
      <c r="D20" s="282">
        <f ca="1">TblConstr[[#This Row],[Plain]]</f>
        <v>0</v>
      </c>
      <c r="E20" s="236">
        <f ca="1">TblConstr[[#This Row],[Forest]]</f>
        <v>0</v>
      </c>
      <c r="F20" s="478">
        <f ca="1">TblConstr[[#This Row],[Mountain]]</f>
        <v>0</v>
      </c>
      <c r="G20" s="482">
        <f ca="1">TblConstr[[#This Row],[Hill]]</f>
        <v>0</v>
      </c>
      <c r="H20" s="486">
        <f ca="1">TblConstr[[#This Row],[Swamp]]</f>
        <v>0</v>
      </c>
      <c r="I20" s="239">
        <f ca="1">TblConstr[[#This Row],[Cavern]]</f>
        <v>0</v>
      </c>
      <c r="J20" s="240">
        <f ca="1">TblConstr[[#This Row],[Water]]</f>
        <v>0</v>
      </c>
      <c r="K20" s="275"/>
      <c r="L20" s="287" t="s">
        <v>378</v>
      </c>
      <c r="M20" s="288"/>
      <c r="N20" s="283">
        <f ca="1">TblMili[[#This Row],[Smithies]]</f>
        <v>0</v>
      </c>
      <c r="O20" s="283">
        <f ca="1">TblPop[[#This Row],[Employment]]</f>
        <v>1</v>
      </c>
      <c r="P20" s="283">
        <f ca="1">TblImps[[#This Row],[Population]]</f>
        <v>0.60405202601300645</v>
      </c>
      <c r="Q20" s="228">
        <f ca="1">TblExplore[[#This Row],[Land]]</f>
        <v>250</v>
      </c>
      <c r="R20" s="228">
        <f>TblExplore[[#This Row],[Hour]]</f>
        <v>17</v>
      </c>
      <c r="S20" s="284"/>
      <c r="T20" s="204"/>
      <c r="U20" s="232"/>
      <c r="V20" s="232"/>
      <c r="W20" s="232"/>
      <c r="X20" s="232"/>
      <c r="Y20" s="232"/>
      <c r="Z20" s="232"/>
      <c r="AA20" s="205">
        <f ca="1">TblImps[[#This Row],[Real time]]</f>
        <v>44405.416666666628</v>
      </c>
      <c r="AB20" s="113">
        <f ca="1">TblMili[[#This Row],[Draftees]]</f>
        <v>379</v>
      </c>
      <c r="AC20" s="113">
        <f ca="1">TblProd[[#This Row],[Platinum]]</f>
        <v>78523</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92</v>
      </c>
    </row>
    <row r="21" spans="1:36" s="49" customFormat="1" x14ac:dyDescent="0.2">
      <c r="A21" s="228">
        <f>TblRezone[[#This Row],[Hour]]</f>
        <v>18</v>
      </c>
      <c r="B21" s="280">
        <f ca="1">TblConstr[[#This Row],[Land]]</f>
        <v>250</v>
      </c>
      <c r="C21" s="281"/>
      <c r="D21" s="282">
        <f ca="1">TblConstr[[#This Row],[Plain]]</f>
        <v>0</v>
      </c>
      <c r="E21" s="236">
        <f ca="1">TblConstr[[#This Row],[Forest]]</f>
        <v>0</v>
      </c>
      <c r="F21" s="478">
        <f ca="1">TblConstr[[#This Row],[Mountain]]</f>
        <v>0</v>
      </c>
      <c r="G21" s="482">
        <f ca="1">TblConstr[[#This Row],[Hill]]</f>
        <v>0</v>
      </c>
      <c r="H21" s="486">
        <f ca="1">TblConstr[[#This Row],[Swamp]]</f>
        <v>0</v>
      </c>
      <c r="I21" s="239">
        <f ca="1">TblConstr[[#This Row],[Cavern]]</f>
        <v>0</v>
      </c>
      <c r="J21" s="240">
        <f ca="1">TblConstr[[#This Row],[Water]]</f>
        <v>0</v>
      </c>
      <c r="K21" s="275"/>
      <c r="L21" s="275"/>
      <c r="M21" s="289"/>
      <c r="N21" s="283">
        <f ca="1">TblMili[[#This Row],[Smithies]]</f>
        <v>0</v>
      </c>
      <c r="O21" s="283">
        <f ca="1">TblPop[[#This Row],[Employment]]</f>
        <v>1</v>
      </c>
      <c r="P21" s="283">
        <f ca="1">TblImps[[#This Row],[Population]]</f>
        <v>0.63331665832916462</v>
      </c>
      <c r="Q21" s="228">
        <f ca="1">TblExplore[[#This Row],[Land]]</f>
        <v>250</v>
      </c>
      <c r="R21" s="228">
        <f>TblExplore[[#This Row],[Hour]]</f>
        <v>18</v>
      </c>
      <c r="S21" s="284"/>
      <c r="T21" s="232"/>
      <c r="U21" s="232"/>
      <c r="V21" s="232"/>
      <c r="W21" s="232"/>
      <c r="X21" s="232"/>
      <c r="Y21" s="232"/>
      <c r="Z21" s="232"/>
      <c r="AA21" s="205">
        <f ca="1">TblImps[[#This Row],[Real time]]</f>
        <v>44405.458333333292</v>
      </c>
      <c r="AB21" s="113">
        <f ca="1">TblMili[[#This Row],[Draftees]]</f>
        <v>399</v>
      </c>
      <c r="AC21" s="113">
        <f ca="1">TblProd[[#This Row],[Platinum]]</f>
        <v>85906</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99</v>
      </c>
    </row>
    <row r="22" spans="1:36" s="49" customFormat="1" x14ac:dyDescent="0.2">
      <c r="A22" s="228">
        <f>TblRezone[[#This Row],[Hour]]</f>
        <v>19</v>
      </c>
      <c r="B22" s="280">
        <f ca="1">TblConstr[[#This Row],[Land]]</f>
        <v>250</v>
      </c>
      <c r="C22" s="281"/>
      <c r="D22" s="282">
        <f ca="1">TblConstr[[#This Row],[Plain]]</f>
        <v>0</v>
      </c>
      <c r="E22" s="236">
        <f ca="1">TblConstr[[#This Row],[Forest]]</f>
        <v>0</v>
      </c>
      <c r="F22" s="478">
        <f ca="1">TblConstr[[#This Row],[Mountain]]</f>
        <v>0</v>
      </c>
      <c r="G22" s="482">
        <f ca="1">TblConstr[[#This Row],[Hill]]</f>
        <v>0</v>
      </c>
      <c r="H22" s="486">
        <f ca="1">TblConstr[[#This Row],[Swamp]]</f>
        <v>0</v>
      </c>
      <c r="I22" s="239">
        <f ca="1">TblConstr[[#This Row],[Cavern]]</f>
        <v>0</v>
      </c>
      <c r="J22" s="240">
        <f ca="1">TblConstr[[#This Row],[Water]]</f>
        <v>0</v>
      </c>
      <c r="K22" s="275"/>
      <c r="L22" s="275"/>
      <c r="M22" s="289"/>
      <c r="N22" s="283">
        <f ca="1">TblMili[[#This Row],[Smithies]]</f>
        <v>0</v>
      </c>
      <c r="O22" s="283">
        <f ca="1">TblPop[[#This Row],[Employment]]</f>
        <v>1</v>
      </c>
      <c r="P22" s="283">
        <f ca="1">TblImps[[#This Row],[Population]]</f>
        <v>0.66383191595797897</v>
      </c>
      <c r="Q22" s="228">
        <f ca="1">TblExplore[[#This Row],[Land]]</f>
        <v>250</v>
      </c>
      <c r="R22" s="228">
        <f>TblExplore[[#This Row],[Hour]]</f>
        <v>19</v>
      </c>
      <c r="S22" s="284"/>
      <c r="T22" s="232"/>
      <c r="U22" s="232"/>
      <c r="V22" s="232"/>
      <c r="W22" s="232"/>
      <c r="X22" s="232"/>
      <c r="Y22" s="232"/>
      <c r="Z22" s="232"/>
      <c r="AA22" s="205">
        <f ca="1">TblImps[[#This Row],[Real time]]</f>
        <v>44405.499999999956</v>
      </c>
      <c r="AB22" s="113">
        <f ca="1">TblMili[[#This Row],[Draftees]]</f>
        <v>420</v>
      </c>
      <c r="AC22" s="113">
        <f ca="1">TblProd[[#This Row],[Platinum]]</f>
        <v>93577</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105</v>
      </c>
    </row>
    <row r="23" spans="1:36" s="49" customFormat="1" x14ac:dyDescent="0.2">
      <c r="A23" s="228">
        <f>TblRezone[[#This Row],[Hour]]</f>
        <v>20</v>
      </c>
      <c r="B23" s="280">
        <f ca="1">TblConstr[[#This Row],[Land]]</f>
        <v>250</v>
      </c>
      <c r="C23" s="281"/>
      <c r="D23" s="282">
        <f ca="1">TblConstr[[#This Row],[Plain]]</f>
        <v>0</v>
      </c>
      <c r="E23" s="236">
        <f ca="1">TblConstr[[#This Row],[Forest]]</f>
        <v>0</v>
      </c>
      <c r="F23" s="478">
        <f ca="1">TblConstr[[#This Row],[Mountain]]</f>
        <v>0</v>
      </c>
      <c r="G23" s="482">
        <f ca="1">TblConstr[[#This Row],[Hill]]</f>
        <v>0</v>
      </c>
      <c r="H23" s="486">
        <f ca="1">TblConstr[[#This Row],[Swamp]]</f>
        <v>0</v>
      </c>
      <c r="I23" s="239">
        <f ca="1">TblConstr[[#This Row],[Cavern]]</f>
        <v>0</v>
      </c>
      <c r="J23" s="240">
        <f ca="1">TblConstr[[#This Row],[Water]]</f>
        <v>0</v>
      </c>
      <c r="K23" s="275"/>
      <c r="L23" s="275"/>
      <c r="M23" s="289"/>
      <c r="N23" s="283">
        <f ca="1">TblMili[[#This Row],[Smithies]]</f>
        <v>0</v>
      </c>
      <c r="O23" s="283">
        <f ca="1">TblPop[[#This Row],[Employment]]</f>
        <v>1</v>
      </c>
      <c r="P23" s="283">
        <f ca="1">TblImps[[#This Row],[Population]]</f>
        <v>0.69584792396198103</v>
      </c>
      <c r="Q23" s="228">
        <f ca="1">TblExplore[[#This Row],[Land]]</f>
        <v>250</v>
      </c>
      <c r="R23" s="228">
        <f>TblExplore[[#This Row],[Hour]]</f>
        <v>20</v>
      </c>
      <c r="S23" s="284"/>
      <c r="T23" s="232"/>
      <c r="U23" s="232"/>
      <c r="V23" s="232"/>
      <c r="W23" s="232"/>
      <c r="X23" s="232"/>
      <c r="Y23" s="232"/>
      <c r="Z23" s="232"/>
      <c r="AA23" s="205">
        <f ca="1">TblImps[[#This Row],[Real time]]</f>
        <v>44405.541666666621</v>
      </c>
      <c r="AB23" s="113">
        <f ca="1">TblMili[[#This Row],[Draftees]]</f>
        <v>442</v>
      </c>
      <c r="AC23" s="113">
        <f ca="1">TblProd[[#This Row],[Platinum]]</f>
        <v>101548</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110</v>
      </c>
    </row>
    <row r="24" spans="1:36" s="49" customFormat="1" x14ac:dyDescent="0.2">
      <c r="A24" s="228">
        <f>TblRezone[[#This Row],[Hour]]</f>
        <v>21</v>
      </c>
      <c r="B24" s="280">
        <f ca="1">TblConstr[[#This Row],[Land]]</f>
        <v>250</v>
      </c>
      <c r="C24" s="281"/>
      <c r="D24" s="282">
        <f ca="1">TblConstr[[#This Row],[Plain]]</f>
        <v>0</v>
      </c>
      <c r="E24" s="236">
        <f ca="1">TblConstr[[#This Row],[Forest]]</f>
        <v>0</v>
      </c>
      <c r="F24" s="478">
        <f ca="1">TblConstr[[#This Row],[Mountain]]</f>
        <v>0</v>
      </c>
      <c r="G24" s="482">
        <f ca="1">TblConstr[[#This Row],[Hill]]</f>
        <v>0</v>
      </c>
      <c r="H24" s="486">
        <f ca="1">TblConstr[[#This Row],[Swamp]]</f>
        <v>0</v>
      </c>
      <c r="I24" s="239">
        <f ca="1">TblConstr[[#This Row],[Cavern]]</f>
        <v>0</v>
      </c>
      <c r="J24" s="240">
        <f ca="1">TblConstr[[#This Row],[Water]]</f>
        <v>0</v>
      </c>
      <c r="K24" s="275"/>
      <c r="L24" s="275"/>
      <c r="M24" s="275"/>
      <c r="N24" s="283">
        <f ca="1">TblMili[[#This Row],[Smithies]]</f>
        <v>0</v>
      </c>
      <c r="O24" s="283">
        <f ca="1">TblPop[[#This Row],[Employment]]</f>
        <v>1</v>
      </c>
      <c r="P24" s="283">
        <f ca="1">TblImps[[#This Row],[Population]]</f>
        <v>0.72961480740370188</v>
      </c>
      <c r="Q24" s="228">
        <f ca="1">TblExplore[[#This Row],[Land]]</f>
        <v>250</v>
      </c>
      <c r="R24" s="280">
        <f>TblExplore[[#This Row],[Hour]]</f>
        <v>21</v>
      </c>
      <c r="S24" s="284"/>
      <c r="T24" s="232"/>
      <c r="U24" s="232"/>
      <c r="V24" s="232"/>
      <c r="W24" s="232"/>
      <c r="X24" s="232"/>
      <c r="Y24" s="232"/>
      <c r="Z24" s="232"/>
      <c r="AA24" s="205">
        <f ca="1">TblImps[[#This Row],[Real time]]</f>
        <v>44405.583333333285</v>
      </c>
      <c r="AB24" s="113">
        <f ca="1">TblMili[[#This Row],[Draftees]]</f>
        <v>465</v>
      </c>
      <c r="AC24" s="113">
        <f ca="1">TblProd[[#This Row],[Platinum]]</f>
        <v>109834</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116</v>
      </c>
    </row>
    <row r="25" spans="1:36" s="49" customFormat="1" x14ac:dyDescent="0.2">
      <c r="A25" s="228">
        <f>TblRezone[[#This Row],[Hour]]</f>
        <v>22</v>
      </c>
      <c r="B25" s="280">
        <f ca="1">TblConstr[[#This Row],[Land]]</f>
        <v>250</v>
      </c>
      <c r="C25" s="281"/>
      <c r="D25" s="282">
        <f ca="1">TblConstr[[#This Row],[Plain]]</f>
        <v>0</v>
      </c>
      <c r="E25" s="236">
        <f ca="1">TblConstr[[#This Row],[Forest]]</f>
        <v>0</v>
      </c>
      <c r="F25" s="478">
        <f ca="1">TblConstr[[#This Row],[Mountain]]</f>
        <v>0</v>
      </c>
      <c r="G25" s="482">
        <f ca="1">TblConstr[[#This Row],[Hill]]</f>
        <v>0</v>
      </c>
      <c r="H25" s="486">
        <f ca="1">TblConstr[[#This Row],[Swamp]]</f>
        <v>0</v>
      </c>
      <c r="I25" s="239">
        <f ca="1">TblConstr[[#This Row],[Cavern]]</f>
        <v>0</v>
      </c>
      <c r="J25" s="240">
        <f ca="1">TblConstr[[#This Row],[Water]]</f>
        <v>0</v>
      </c>
      <c r="K25" s="275"/>
      <c r="L25" s="290" t="s">
        <v>394</v>
      </c>
      <c r="M25" s="290"/>
      <c r="N25" s="283">
        <f ca="1">TblMili[[#This Row],[Smithies]]</f>
        <v>0</v>
      </c>
      <c r="O25" s="283">
        <f ca="1">TblPop[[#This Row],[Employment]]</f>
        <v>1</v>
      </c>
      <c r="P25" s="283">
        <f ca="1">TblImps[[#This Row],[Population]]</f>
        <v>0.76488244122061033</v>
      </c>
      <c r="Q25" s="228">
        <f ca="1">TblExplore[[#This Row],[Land]]</f>
        <v>250</v>
      </c>
      <c r="R25" s="280">
        <f>TblExplore[[#This Row],[Hour]]</f>
        <v>22</v>
      </c>
      <c r="S25" s="284"/>
      <c r="T25" s="232"/>
      <c r="U25" s="232"/>
      <c r="V25" s="232"/>
      <c r="W25" s="232"/>
      <c r="X25" s="232"/>
      <c r="Y25" s="232"/>
      <c r="Z25" s="232"/>
      <c r="AA25" s="205">
        <f ca="1">TblImps[[#This Row],[Real time]]</f>
        <v>44405.624999999949</v>
      </c>
      <c r="AB25" s="113">
        <f ca="1">TblMili[[#This Row],[Draftees]]</f>
        <v>489</v>
      </c>
      <c r="AC25" s="113">
        <f ca="1">TblProd[[#This Row],[Platinum]]</f>
        <v>118452</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122</v>
      </c>
    </row>
    <row r="26" spans="1:36" s="49" customFormat="1" x14ac:dyDescent="0.2">
      <c r="A26" s="228">
        <f>TblRezone[[#This Row],[Hour]]</f>
        <v>23</v>
      </c>
      <c r="B26" s="280">
        <f ca="1">TblConstr[[#This Row],[Land]]</f>
        <v>250</v>
      </c>
      <c r="C26" s="281"/>
      <c r="D26" s="282">
        <f ca="1">TblConstr[[#This Row],[Plain]]</f>
        <v>0</v>
      </c>
      <c r="E26" s="236">
        <f ca="1">TblConstr[[#This Row],[Forest]]</f>
        <v>0</v>
      </c>
      <c r="F26" s="478">
        <f ca="1">TblConstr[[#This Row],[Mountain]]</f>
        <v>0</v>
      </c>
      <c r="G26" s="482">
        <f ca="1">TblConstr[[#This Row],[Hill]]</f>
        <v>0</v>
      </c>
      <c r="H26" s="486">
        <f ca="1">TblConstr[[#This Row],[Swamp]]</f>
        <v>0</v>
      </c>
      <c r="I26" s="239">
        <f ca="1">TblConstr[[#This Row],[Cavern]]</f>
        <v>0</v>
      </c>
      <c r="J26" s="240">
        <f ca="1">TblConstr[[#This Row],[Water]]</f>
        <v>0</v>
      </c>
      <c r="K26" s="275"/>
      <c r="L26" s="290" t="s">
        <v>380</v>
      </c>
      <c r="M26" s="291">
        <f ca="1">Military!AN67</f>
        <v>2686</v>
      </c>
      <c r="N26" s="283">
        <f ca="1">TblMili[[#This Row],[Smithies]]</f>
        <v>0</v>
      </c>
      <c r="O26" s="283">
        <f ca="1">TblPop[[#This Row],[Employment]]</f>
        <v>1</v>
      </c>
      <c r="P26" s="283">
        <f ca="1">TblImps[[#This Row],[Population]]</f>
        <v>0.80190095047523757</v>
      </c>
      <c r="Q26" s="228">
        <f ca="1">TblExplore[[#This Row],[Land]]</f>
        <v>250</v>
      </c>
      <c r="R26" s="228">
        <f>TblExplore[[#This Row],[Hour]]</f>
        <v>23</v>
      </c>
      <c r="S26" s="284"/>
      <c r="T26" s="232"/>
      <c r="U26" s="232"/>
      <c r="V26" s="232"/>
      <c r="W26" s="232"/>
      <c r="X26" s="232"/>
      <c r="Y26" s="232"/>
      <c r="Z26" s="232"/>
      <c r="AA26" s="205">
        <f ca="1">TblImps[[#This Row],[Real time]]</f>
        <v>44405.666666666613</v>
      </c>
      <c r="AB26" s="113">
        <f ca="1">TblMili[[#This Row],[Draftees]]</f>
        <v>514</v>
      </c>
      <c r="AC26" s="113">
        <f ca="1">TblProd[[#This Row],[Platinum]]</f>
        <v>127418</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128</v>
      </c>
    </row>
    <row r="27" spans="1:36" s="49" customFormat="1" x14ac:dyDescent="0.2">
      <c r="A27" s="228">
        <f>TblRezone[[#This Row],[Hour]]</f>
        <v>24</v>
      </c>
      <c r="B27" s="280">
        <f ca="1">TblConstr[[#This Row],[Land]]</f>
        <v>270</v>
      </c>
      <c r="C27" s="281"/>
      <c r="D27" s="282">
        <f ca="1">TblConstr[[#This Row],[Plain]]</f>
        <v>0</v>
      </c>
      <c r="E27" s="236">
        <f ca="1">TblConstr[[#This Row],[Forest]]</f>
        <v>0</v>
      </c>
      <c r="F27" s="478">
        <f ca="1">TblConstr[[#This Row],[Mountain]]</f>
        <v>0</v>
      </c>
      <c r="G27" s="482">
        <f ca="1">TblConstr[[#This Row],[Hill]]</f>
        <v>0</v>
      </c>
      <c r="H27" s="486">
        <f ca="1">TblConstr[[#This Row],[Swamp]]</f>
        <v>0</v>
      </c>
      <c r="I27" s="239">
        <f ca="1">TblConstr[[#This Row],[Cavern]]</f>
        <v>0</v>
      </c>
      <c r="J27" s="240">
        <f ca="1">TblConstr[[#This Row],[Water]]</f>
        <v>0</v>
      </c>
      <c r="K27" s="275"/>
      <c r="L27" s="290" t="s">
        <v>379</v>
      </c>
      <c r="M27" s="291">
        <f ca="1">Production!S76</f>
        <v>34995</v>
      </c>
      <c r="N27" s="283">
        <f ca="1">TblMili[[#This Row],[Smithies]]</f>
        <v>0</v>
      </c>
      <c r="O27" s="283">
        <f ca="1">TblPop[[#This Row],[Employment]]</f>
        <v>1</v>
      </c>
      <c r="P27" s="283">
        <f ca="1">TblImps[[#This Row],[Population]]</f>
        <v>0.70560280140070031</v>
      </c>
      <c r="Q27" s="228">
        <f ca="1">TblExplore[[#This Row],[Land]]</f>
        <v>270</v>
      </c>
      <c r="R27" s="228">
        <f>TblExplore[[#This Row],[Hour]]</f>
        <v>24</v>
      </c>
      <c r="S27" s="284">
        <v>1</v>
      </c>
      <c r="T27" s="204">
        <v>125</v>
      </c>
      <c r="U27" s="232"/>
      <c r="V27" s="232">
        <v>10</v>
      </c>
      <c r="W27" s="232"/>
      <c r="X27" s="232"/>
      <c r="Y27" s="232"/>
      <c r="Z27" s="232"/>
      <c r="AA27" s="205">
        <f ca="1">TblImps[[#This Row],[Real time]]</f>
        <v>44405.708333333278</v>
      </c>
      <c r="AB27" s="113">
        <f ca="1">TblMili[[#This Row],[Draftees]]</f>
        <v>0</v>
      </c>
      <c r="AC27" s="113">
        <f ca="1">TblProd[[#This Row],[Platinum]]</f>
        <v>26283</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114750</v>
      </c>
      <c r="AI27" s="113">
        <f ca="1">SUM(TblExplore[[#This Row],[Plains Explore]:[Water Explore]])*TblExplore[[#This Row],[Draftees/acre]]</f>
        <v>540</v>
      </c>
      <c r="AJ27" s="49">
        <f ca="1">_xlfn.FLOOR.MATH(MIN(TblExplore[[#This Row],[Platinum]]/TblExplore[[#This Row],[Plat/acre]],TblExplore[[#This Row],[Draftees]]/TblExplore[[#This Row],[Draftees/acre]]))</f>
        <v>0</v>
      </c>
    </row>
    <row r="28" spans="1:36" s="49" customFormat="1" x14ac:dyDescent="0.2">
      <c r="A28" s="228">
        <f>TblRezone[[#This Row],[Hour]]</f>
        <v>25</v>
      </c>
      <c r="B28" s="280">
        <f ca="1">TblConstr[[#This Row],[Land]]</f>
        <v>299</v>
      </c>
      <c r="C28" s="281"/>
      <c r="D28" s="282">
        <f ca="1">TblConstr[[#This Row],[Plain]]</f>
        <v>0</v>
      </c>
      <c r="E28" s="236">
        <f ca="1">TblConstr[[#This Row],[Forest]]</f>
        <v>0</v>
      </c>
      <c r="F28" s="478">
        <f ca="1">TblConstr[[#This Row],[Mountain]]</f>
        <v>0</v>
      </c>
      <c r="G28" s="482">
        <f ca="1">TblConstr[[#This Row],[Hill]]</f>
        <v>0</v>
      </c>
      <c r="H28" s="486">
        <f ca="1">TblConstr[[#This Row],[Swamp]]</f>
        <v>0</v>
      </c>
      <c r="I28" s="239">
        <f ca="1">TblConstr[[#This Row],[Cavern]]</f>
        <v>0</v>
      </c>
      <c r="J28" s="240">
        <f ca="1">TblConstr[[#This Row],[Water]]</f>
        <v>0</v>
      </c>
      <c r="K28" s="275"/>
      <c r="L28" s="290" t="s">
        <v>377</v>
      </c>
      <c r="M28" s="291">
        <f ca="1">Military!Z64</f>
        <v>842</v>
      </c>
      <c r="N28" s="283">
        <f ca="1">TblMili[[#This Row],[Smithies]]</f>
        <v>0</v>
      </c>
      <c r="O28" s="283">
        <f ca="1">TblPop[[#This Row],[Employment]]</f>
        <v>1</v>
      </c>
      <c r="P28" s="283">
        <f ca="1">TblImps[[#This Row],[Population]]</f>
        <v>0.66838796587337224</v>
      </c>
      <c r="Q28" s="228">
        <f ca="1">TblExplore[[#This Row],[Land]]</f>
        <v>299</v>
      </c>
      <c r="R28" s="228">
        <f>TblExplore[[#This Row],[Hour]]</f>
        <v>25</v>
      </c>
      <c r="S28" s="284"/>
      <c r="T28" s="232"/>
      <c r="U28" s="232"/>
      <c r="V28" s="232"/>
      <c r="W28" s="232"/>
      <c r="X28" s="232"/>
      <c r="Y28" s="232"/>
      <c r="Z28" s="232"/>
      <c r="AA28" s="205">
        <f ca="1">TblImps[[#This Row],[Real time]]</f>
        <v>44405.749999999942</v>
      </c>
      <c r="AB28" s="113">
        <f ca="1">TblMili[[#This Row],[Draftees]]</f>
        <v>28</v>
      </c>
      <c r="AC28" s="113">
        <f ca="1">TblProd[[#This Row],[Platinum]]</f>
        <v>28117</v>
      </c>
      <c r="AD28" s="281"/>
      <c r="AE28" s="49">
        <f ca="1">TblExplore[[#This Row],[Land]]-TblExplore[[#This Row],[Land Bonus]]*20</f>
        <v>299</v>
      </c>
      <c r="AF28" s="113">
        <f ca="1">ROUND(IF(TblExplore[[#This Row],[Land-DB]] &gt;= 300, 1000 + 3*((TblExplore[[#This Row],[Land-DB]]-300)^(MAX(MIN(TblExplore[[#This Row],[Land-DB]]^0.0185/1.05,1.121),1.09))), 1000 - (3 * (300-TblExplore[[#This Row],[Land-DB]])))*(1+ tech_2_6*Techs!AC28 + tech_2_9*Techs!AF28 + tech_3_7*Techs!AN28 + Overview!$I$32),0)</f>
        <v>997</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7</v>
      </c>
    </row>
    <row r="29" spans="1:36" s="49" customFormat="1" x14ac:dyDescent="0.2">
      <c r="A29" s="228">
        <f>TblRezone[[#This Row],[Hour]]</f>
        <v>26</v>
      </c>
      <c r="B29" s="280">
        <f ca="1">TblConstr[[#This Row],[Land]]</f>
        <v>299</v>
      </c>
      <c r="C29" s="281"/>
      <c r="D29" s="282">
        <f ca="1">TblConstr[[#This Row],[Plain]]</f>
        <v>0</v>
      </c>
      <c r="E29" s="236">
        <f ca="1">TblConstr[[#This Row],[Forest]]</f>
        <v>0</v>
      </c>
      <c r="F29" s="478">
        <f ca="1">TblConstr[[#This Row],[Mountain]]</f>
        <v>0</v>
      </c>
      <c r="G29" s="482">
        <f ca="1">TblConstr[[#This Row],[Hill]]</f>
        <v>0</v>
      </c>
      <c r="H29" s="486">
        <f ca="1">TblConstr[[#This Row],[Swamp]]</f>
        <v>0</v>
      </c>
      <c r="I29" s="239">
        <f ca="1">TblConstr[[#This Row],[Cavern]]</f>
        <v>0</v>
      </c>
      <c r="J29" s="240">
        <f ca="1">TblConstr[[#This Row],[Water]]</f>
        <v>0</v>
      </c>
      <c r="K29" s="275"/>
      <c r="L29" s="290" t="s">
        <v>378</v>
      </c>
      <c r="M29" s="292">
        <f ca="1">Q76</f>
        <v>600</v>
      </c>
      <c r="N29" s="283">
        <f ca="1">TblMili[[#This Row],[Smithies]]</f>
        <v>0</v>
      </c>
      <c r="O29" s="283">
        <f ca="1">TblPop[[#This Row],[Employment]]</f>
        <v>1</v>
      </c>
      <c r="P29" s="283">
        <f ca="1">TblImps[[#This Row],[Population]]</f>
        <v>0.66112397390023148</v>
      </c>
      <c r="Q29" s="228">
        <f ca="1">TblExplore[[#This Row],[Land]]</f>
        <v>299</v>
      </c>
      <c r="R29" s="228">
        <f>TblExplore[[#This Row],[Hour]]</f>
        <v>26</v>
      </c>
      <c r="S29" s="284"/>
      <c r="T29" s="204"/>
      <c r="U29" s="232"/>
      <c r="V29" s="232"/>
      <c r="W29" s="232"/>
      <c r="X29" s="232"/>
      <c r="Y29" s="232"/>
      <c r="Z29" s="232"/>
      <c r="AA29" s="205">
        <f ca="1">TblImps[[#This Row],[Real time]]</f>
        <v>44405.791666666606</v>
      </c>
      <c r="AB29" s="113">
        <f ca="1">TblMili[[#This Row],[Draftees]]</f>
        <v>57</v>
      </c>
      <c r="AC29" s="113">
        <f ca="1">TblProd[[#This Row],[Platinum]]</f>
        <v>40192</v>
      </c>
      <c r="AD29" s="281"/>
      <c r="AE29" s="49">
        <f ca="1">TblExplore[[#This Row],[Land]]-TblExplore[[#This Row],[Land Bonus]]*20</f>
        <v>299</v>
      </c>
      <c r="AF29" s="113">
        <f ca="1">ROUND(IF(TblExplore[[#This Row],[Land-DB]] &gt;= 300, 1000 + 3*((TblExplore[[#This Row],[Land-DB]]-300)^(MAX(MIN(TblExplore[[#This Row],[Land-DB]]^0.0185/1.05,1.121),1.09))), 1000 - (3 * (300-TblExplore[[#This Row],[Land-DB]])))*(1+ tech_2_6*Techs!AC29 + tech_2_9*Techs!AF29 + tech_3_7*Techs!AN29 + Overview!$I$32),0)</f>
        <v>997</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14</v>
      </c>
    </row>
    <row r="30" spans="1:36" s="49" customFormat="1" x14ac:dyDescent="0.2">
      <c r="A30" s="228">
        <f>TblRezone[[#This Row],[Hour]]</f>
        <v>27</v>
      </c>
      <c r="B30" s="280">
        <f ca="1">TblConstr[[#This Row],[Land]]</f>
        <v>299</v>
      </c>
      <c r="C30" s="281"/>
      <c r="D30" s="282">
        <f ca="1">TblConstr[[#This Row],[Plain]]</f>
        <v>0</v>
      </c>
      <c r="E30" s="236">
        <f ca="1">TblConstr[[#This Row],[Forest]]</f>
        <v>0</v>
      </c>
      <c r="F30" s="478">
        <f ca="1">TblConstr[[#This Row],[Mountain]]</f>
        <v>0</v>
      </c>
      <c r="G30" s="482">
        <f ca="1">TblConstr[[#This Row],[Hill]]</f>
        <v>0</v>
      </c>
      <c r="H30" s="486">
        <f ca="1">TblConstr[[#This Row],[Swamp]]</f>
        <v>0</v>
      </c>
      <c r="I30" s="239">
        <f ca="1">TblConstr[[#This Row],[Cavern]]</f>
        <v>0</v>
      </c>
      <c r="J30" s="240">
        <f ca="1">TblConstr[[#This Row],[Water]]</f>
        <v>0</v>
      </c>
      <c r="K30" s="275"/>
      <c r="L30" s="275"/>
      <c r="M30" s="289"/>
      <c r="N30" s="283">
        <f ca="1">TblMili[[#This Row],[Smithies]]</f>
        <v>0</v>
      </c>
      <c r="O30" s="283">
        <f ca="1">TblPop[[#This Row],[Employment]]</f>
        <v>1</v>
      </c>
      <c r="P30" s="283">
        <f ca="1">TblImps[[#This Row],[Population]]</f>
        <v>0.6971163965480951</v>
      </c>
      <c r="Q30" s="228">
        <f ca="1">TblExplore[[#This Row],[Land]]</f>
        <v>299</v>
      </c>
      <c r="R30" s="228">
        <f>TblExplore[[#This Row],[Hour]]</f>
        <v>27</v>
      </c>
      <c r="S30" s="284"/>
      <c r="T30" s="204"/>
      <c r="U30" s="232"/>
      <c r="V30" s="232"/>
      <c r="W30" s="232"/>
      <c r="X30" s="232"/>
      <c r="Y30" s="232"/>
      <c r="Z30" s="232"/>
      <c r="AA30" s="205">
        <f ca="1">TblImps[[#This Row],[Real time]]</f>
        <v>44405.83333333327</v>
      </c>
      <c r="AB30" s="113">
        <f ca="1">TblMili[[#This Row],[Draftees]]</f>
        <v>87</v>
      </c>
      <c r="AC30" s="113">
        <f ca="1">TblProd[[#This Row],[Platinum]]</f>
        <v>52667</v>
      </c>
      <c r="AD30" s="281"/>
      <c r="AE30" s="49">
        <f ca="1">TblExplore[[#This Row],[Land]]-TblExplore[[#This Row],[Land Bonus]]*20</f>
        <v>299</v>
      </c>
      <c r="AF30" s="113">
        <f ca="1">ROUND(IF(TblExplore[[#This Row],[Land-DB]] &gt;= 300, 1000 + 3*((TblExplore[[#This Row],[Land-DB]]-300)^(MAX(MIN(TblExplore[[#This Row],[Land-DB]]^0.0185/1.05,1.121),1.09))), 1000 - (3 * (300-TblExplore[[#This Row],[Land-DB]])))*(1+ tech_2_6*Techs!AC30 + tech_2_9*Techs!AF30 + tech_3_7*Techs!AN30 + Overview!$I$32),0)</f>
        <v>997</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21</v>
      </c>
    </row>
    <row r="31" spans="1:36" s="49" customFormat="1" x14ac:dyDescent="0.2">
      <c r="A31" s="228">
        <f>TblRezone[[#This Row],[Hour]]</f>
        <v>28</v>
      </c>
      <c r="B31" s="280">
        <f ca="1">TblConstr[[#This Row],[Land]]</f>
        <v>299</v>
      </c>
      <c r="C31" s="281"/>
      <c r="D31" s="282">
        <f ca="1">TblConstr[[#This Row],[Plain]]</f>
        <v>0</v>
      </c>
      <c r="E31" s="236">
        <f ca="1">TblConstr[[#This Row],[Forest]]</f>
        <v>0</v>
      </c>
      <c r="F31" s="478">
        <f ca="1">TblConstr[[#This Row],[Mountain]]</f>
        <v>0</v>
      </c>
      <c r="G31" s="482">
        <f ca="1">TblConstr[[#This Row],[Hill]]</f>
        <v>0</v>
      </c>
      <c r="H31" s="486">
        <f ca="1">TblConstr[[#This Row],[Swamp]]</f>
        <v>0</v>
      </c>
      <c r="I31" s="239">
        <f ca="1">TblConstr[[#This Row],[Cavern]]</f>
        <v>0</v>
      </c>
      <c r="J31" s="240">
        <f ca="1">TblConstr[[#This Row],[Water]]</f>
        <v>0</v>
      </c>
      <c r="K31" s="275"/>
      <c r="L31" s="275"/>
      <c r="M31" s="289"/>
      <c r="N31" s="283">
        <f ca="1">TblMili[[#This Row],[Smithies]]</f>
        <v>0</v>
      </c>
      <c r="O31" s="283">
        <f ca="1">TblPop[[#This Row],[Employment]]</f>
        <v>1</v>
      </c>
      <c r="P31" s="283">
        <f ca="1">TblImps[[#This Row],[Population]]</f>
        <v>0.73479267522626812</v>
      </c>
      <c r="Q31" s="228">
        <f ca="1">TblExplore[[#This Row],[Land]]</f>
        <v>299</v>
      </c>
      <c r="R31" s="228">
        <f>TblExplore[[#This Row],[Hour]]</f>
        <v>28</v>
      </c>
      <c r="S31" s="284"/>
      <c r="T31" s="204"/>
      <c r="U31" s="232"/>
      <c r="V31" s="232"/>
      <c r="W31" s="232"/>
      <c r="X31" s="232"/>
      <c r="Y31" s="232"/>
      <c r="Z31" s="232"/>
      <c r="AA31" s="205">
        <f ca="1">TblImps[[#This Row],[Real time]]</f>
        <v>44405.874999999935</v>
      </c>
      <c r="AB31" s="113">
        <f ca="1">TblMili[[#This Row],[Draftees]]</f>
        <v>119</v>
      </c>
      <c r="AC31" s="113">
        <f ca="1">TblProd[[#This Row],[Platinum]]</f>
        <v>65561</v>
      </c>
      <c r="AD31" s="281"/>
      <c r="AE31" s="49">
        <f ca="1">TblExplore[[#This Row],[Land]]-TblExplore[[#This Row],[Land Bonus]]*20</f>
        <v>299</v>
      </c>
      <c r="AF31" s="113">
        <f ca="1">ROUND(IF(TblExplore[[#This Row],[Land-DB]] &gt;= 300, 1000 + 3*((TblExplore[[#This Row],[Land-DB]]-300)^(MAX(MIN(TblExplore[[#This Row],[Land-DB]]^0.0185/1.05,1.121),1.09))), 1000 - (3 * (300-TblExplore[[#This Row],[Land-DB]])))*(1+ tech_2_6*Techs!AC31 + tech_2_9*Techs!AF31 + tech_3_7*Techs!AN31 + Overview!$I$32),0)</f>
        <v>997</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29</v>
      </c>
    </row>
    <row r="32" spans="1:36" s="49" customFormat="1" x14ac:dyDescent="0.2">
      <c r="A32" s="228">
        <f>TblRezone[[#This Row],[Hour]]</f>
        <v>29</v>
      </c>
      <c r="B32" s="280">
        <f ca="1">TblConstr[[#This Row],[Land]]</f>
        <v>299</v>
      </c>
      <c r="C32" s="281"/>
      <c r="D32" s="282">
        <f ca="1">TblConstr[[#This Row],[Plain]]</f>
        <v>0</v>
      </c>
      <c r="E32" s="236">
        <f ca="1">TblConstr[[#This Row],[Forest]]</f>
        <v>0</v>
      </c>
      <c r="F32" s="478">
        <f ca="1">TblConstr[[#This Row],[Mountain]]</f>
        <v>0</v>
      </c>
      <c r="G32" s="482">
        <f ca="1">TblConstr[[#This Row],[Hill]]</f>
        <v>0</v>
      </c>
      <c r="H32" s="486">
        <f ca="1">TblConstr[[#This Row],[Swamp]]</f>
        <v>0</v>
      </c>
      <c r="I32" s="239">
        <f ca="1">TblConstr[[#This Row],[Cavern]]</f>
        <v>0</v>
      </c>
      <c r="J32" s="240">
        <f ca="1">TblConstr[[#This Row],[Water]]</f>
        <v>0</v>
      </c>
      <c r="K32" s="275"/>
      <c r="L32" s="275"/>
      <c r="M32" s="289"/>
      <c r="N32" s="283">
        <f ca="1">TblMili[[#This Row],[Smithies]]</f>
        <v>0</v>
      </c>
      <c r="O32" s="283">
        <f ca="1">TblPop[[#This Row],[Employment]]</f>
        <v>1</v>
      </c>
      <c r="P32" s="283">
        <f ca="1">TblImps[[#This Row],[Population]]</f>
        <v>0.77436329193853926</v>
      </c>
      <c r="Q32" s="228">
        <f ca="1">TblExplore[[#This Row],[Land]]</f>
        <v>299</v>
      </c>
      <c r="R32" s="228">
        <f>TblExplore[[#This Row],[Hour]]</f>
        <v>29</v>
      </c>
      <c r="S32" s="284"/>
      <c r="T32" s="204"/>
      <c r="U32" s="232"/>
      <c r="V32" s="232"/>
      <c r="W32" s="232"/>
      <c r="X32" s="232"/>
      <c r="Y32" s="232"/>
      <c r="Z32" s="232"/>
      <c r="AA32" s="205">
        <f ca="1">TblImps[[#This Row],[Real time]]</f>
        <v>44405.916666666599</v>
      </c>
      <c r="AB32" s="113">
        <f ca="1">TblMili[[#This Row],[Draftees]]</f>
        <v>152</v>
      </c>
      <c r="AC32" s="113">
        <f ca="1">TblProd[[#This Row],[Platinum]]</f>
        <v>78892</v>
      </c>
      <c r="AD32" s="281"/>
      <c r="AE32" s="49">
        <f ca="1">TblExplore[[#This Row],[Land]]-TblExplore[[#This Row],[Land Bonus]]*20</f>
        <v>299</v>
      </c>
      <c r="AF32" s="113">
        <f ca="1">ROUND(IF(TblExplore[[#This Row],[Land-DB]] &gt;= 300, 1000 + 3*((TblExplore[[#This Row],[Land-DB]]-300)^(MAX(MIN(TblExplore[[#This Row],[Land-DB]]^0.0185/1.05,1.121),1.09))), 1000 - (3 * (300-TblExplore[[#This Row],[Land-DB]])))*(1+ tech_2_6*Techs!AC32 + tech_2_9*Techs!AF32 + tech_3_7*Techs!AN32 + Overview!$I$32),0)</f>
        <v>997</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38</v>
      </c>
    </row>
    <row r="33" spans="1:36" s="49" customFormat="1" x14ac:dyDescent="0.2">
      <c r="A33" s="228">
        <f>TblRezone[[#This Row],[Hour]]</f>
        <v>30</v>
      </c>
      <c r="B33" s="280">
        <f ca="1">TblConstr[[#This Row],[Land]]</f>
        <v>299</v>
      </c>
      <c r="C33" s="281"/>
      <c r="D33" s="282">
        <f ca="1">TblConstr[[#This Row],[Plain]]</f>
        <v>0</v>
      </c>
      <c r="E33" s="236">
        <f ca="1">TblConstr[[#This Row],[Forest]]</f>
        <v>0</v>
      </c>
      <c r="F33" s="478">
        <f ca="1">TblConstr[[#This Row],[Mountain]]</f>
        <v>0</v>
      </c>
      <c r="G33" s="482">
        <f ca="1">TblConstr[[#This Row],[Hill]]</f>
        <v>0</v>
      </c>
      <c r="H33" s="486">
        <f ca="1">TblConstr[[#This Row],[Swamp]]</f>
        <v>0</v>
      </c>
      <c r="I33" s="239">
        <f ca="1">TblConstr[[#This Row],[Cavern]]</f>
        <v>0</v>
      </c>
      <c r="J33" s="240">
        <f ca="1">TblConstr[[#This Row],[Water]]</f>
        <v>0</v>
      </c>
      <c r="K33" s="275"/>
      <c r="L33" s="275"/>
      <c r="M33" s="275"/>
      <c r="N33" s="283">
        <f ca="1">TblMili[[#This Row],[Smithies]]</f>
        <v>0</v>
      </c>
      <c r="O33" s="283">
        <f ca="1">TblPop[[#This Row],[Employment]]</f>
        <v>1</v>
      </c>
      <c r="P33" s="283">
        <f ca="1">TblImps[[#This Row],[Population]]</f>
        <v>0.81561776468111979</v>
      </c>
      <c r="Q33" s="228">
        <f ca="1">TblExplore[[#This Row],[Land]]</f>
        <v>299</v>
      </c>
      <c r="R33" s="228">
        <f>TblExplore[[#This Row],[Hour]]</f>
        <v>30</v>
      </c>
      <c r="S33" s="284"/>
      <c r="T33" s="204"/>
      <c r="U33" s="232"/>
      <c r="V33" s="232"/>
      <c r="W33" s="232"/>
      <c r="X33" s="232"/>
      <c r="Y33" s="232"/>
      <c r="Z33" s="232"/>
      <c r="AA33" s="205">
        <f ca="1">TblImps[[#This Row],[Real time]]</f>
        <v>44405.958333333263</v>
      </c>
      <c r="AB33" s="113">
        <f ca="1">TblMili[[#This Row],[Draftees]]</f>
        <v>187</v>
      </c>
      <c r="AC33" s="113">
        <f ca="1">TblProd[[#This Row],[Platinum]]</f>
        <v>92683</v>
      </c>
      <c r="AD33" s="281"/>
      <c r="AE33" s="49">
        <f ca="1">TblExplore[[#This Row],[Land]]-TblExplore[[#This Row],[Land Bonus]]*20</f>
        <v>299</v>
      </c>
      <c r="AF33" s="113">
        <f ca="1">ROUND(IF(TblExplore[[#This Row],[Land-DB]] &gt;= 300, 1000 + 3*((TblExplore[[#This Row],[Land-DB]]-300)^(MAX(MIN(TblExplore[[#This Row],[Land-DB]]^0.0185/1.05,1.121),1.09))), 1000 - (3 * (300-TblExplore[[#This Row],[Land-DB]])))*(1+ tech_2_6*Techs!AC33 + tech_2_9*Techs!AF33 + tech_3_7*Techs!AN33 + Overview!$I$32),0)</f>
        <v>997</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46</v>
      </c>
    </row>
    <row r="34" spans="1:36" s="49" customFormat="1" x14ac:dyDescent="0.2">
      <c r="A34" s="228">
        <f>TblRezone[[#This Row],[Hour]]</f>
        <v>31</v>
      </c>
      <c r="B34" s="280">
        <f ca="1">TblConstr[[#This Row],[Land]]</f>
        <v>299</v>
      </c>
      <c r="C34" s="281"/>
      <c r="D34" s="282">
        <f ca="1">TblConstr[[#This Row],[Plain]]</f>
        <v>0</v>
      </c>
      <c r="E34" s="236">
        <f ca="1">TblConstr[[#This Row],[Forest]]</f>
        <v>0</v>
      </c>
      <c r="F34" s="478">
        <f ca="1">TblConstr[[#This Row],[Mountain]]</f>
        <v>0</v>
      </c>
      <c r="G34" s="482">
        <f ca="1">TblConstr[[#This Row],[Hill]]</f>
        <v>0</v>
      </c>
      <c r="H34" s="486">
        <f ca="1">TblConstr[[#This Row],[Swamp]]</f>
        <v>0</v>
      </c>
      <c r="I34" s="239">
        <f ca="1">TblConstr[[#This Row],[Cavern]]</f>
        <v>0</v>
      </c>
      <c r="J34" s="240">
        <f ca="1">TblConstr[[#This Row],[Water]]</f>
        <v>0</v>
      </c>
      <c r="K34" s="275"/>
      <c r="L34" s="275"/>
      <c r="M34" s="293"/>
      <c r="N34" s="283">
        <f ca="1">TblMili[[#This Row],[Smithies]]</f>
        <v>0</v>
      </c>
      <c r="O34" s="283">
        <f ca="1">TblPop[[#This Row],[Employment]]</f>
        <v>1</v>
      </c>
      <c r="P34" s="283">
        <f ca="1">TblImps[[#This Row],[Population]]</f>
        <v>0.85876657545779833</v>
      </c>
      <c r="Q34" s="228">
        <f ca="1">TblExplore[[#This Row],[Land]]</f>
        <v>299</v>
      </c>
      <c r="R34" s="228">
        <f>TblExplore[[#This Row],[Hour]]</f>
        <v>31</v>
      </c>
      <c r="S34" s="284"/>
      <c r="T34" s="232"/>
      <c r="U34" s="232"/>
      <c r="V34" s="232"/>
      <c r="W34" s="232"/>
      <c r="X34" s="232"/>
      <c r="Y34" s="232"/>
      <c r="Z34" s="232"/>
      <c r="AA34" s="205">
        <f ca="1">TblImps[[#This Row],[Real time]]</f>
        <v>44405.999999999927</v>
      </c>
      <c r="AB34" s="113">
        <f ca="1">TblMili[[#This Row],[Draftees]]</f>
        <v>223</v>
      </c>
      <c r="AC34" s="113">
        <f ca="1">TblProd[[#This Row],[Platinum]]</f>
        <v>106952</v>
      </c>
      <c r="AD34" s="281"/>
      <c r="AE34" s="49">
        <f ca="1">TblExplore[[#This Row],[Land]]-TblExplore[[#This Row],[Land Bonus]]*20</f>
        <v>299</v>
      </c>
      <c r="AF34" s="113">
        <f ca="1">ROUND(IF(TblExplore[[#This Row],[Land-DB]] &gt;= 300, 1000 + 3*((TblExplore[[#This Row],[Land-DB]]-300)^(MAX(MIN(TblExplore[[#This Row],[Land-DB]]^0.0185/1.05,1.121),1.09))), 1000 - (3 * (300-TblExplore[[#This Row],[Land-DB]])))*(1+ tech_2_6*Techs!AC34 + tech_2_9*Techs!AF34 + tech_3_7*Techs!AN34 + Overview!$I$32),0)</f>
        <v>997</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55</v>
      </c>
    </row>
    <row r="35" spans="1:36" s="49" customFormat="1" x14ac:dyDescent="0.2">
      <c r="A35" s="228">
        <f>TblRezone[[#This Row],[Hour]]</f>
        <v>32</v>
      </c>
      <c r="B35" s="280">
        <f ca="1">TblConstr[[#This Row],[Land]]</f>
        <v>299</v>
      </c>
      <c r="C35" s="281"/>
      <c r="D35" s="282">
        <f ca="1">TblConstr[[#This Row],[Plain]]</f>
        <v>0</v>
      </c>
      <c r="E35" s="236">
        <f ca="1">TblConstr[[#This Row],[Forest]]</f>
        <v>0</v>
      </c>
      <c r="F35" s="478">
        <f ca="1">TblConstr[[#This Row],[Mountain]]</f>
        <v>0</v>
      </c>
      <c r="G35" s="482">
        <f ca="1">TblConstr[[#This Row],[Hill]]</f>
        <v>0</v>
      </c>
      <c r="H35" s="486">
        <f ca="1">TblConstr[[#This Row],[Swamp]]</f>
        <v>0</v>
      </c>
      <c r="I35" s="239">
        <f ca="1">TblConstr[[#This Row],[Cavern]]</f>
        <v>0</v>
      </c>
      <c r="J35" s="240">
        <f ca="1">TblConstr[[#This Row],[Water]]</f>
        <v>0</v>
      </c>
      <c r="K35" s="275"/>
      <c r="L35" s="275"/>
      <c r="M35" s="293"/>
      <c r="N35" s="283">
        <f ca="1">TblMili[[#This Row],[Smithies]]</f>
        <v>0</v>
      </c>
      <c r="O35" s="283">
        <f ca="1">TblPop[[#This Row],[Employment]]</f>
        <v>1</v>
      </c>
      <c r="P35" s="283">
        <f ca="1">TblImps[[#This Row],[Population]]</f>
        <v>0.90402020627236368</v>
      </c>
      <c r="Q35" s="228">
        <f ca="1">TblExplore[[#This Row],[Land]]</f>
        <v>299</v>
      </c>
      <c r="R35" s="228">
        <f>TblExplore[[#This Row],[Hour]]</f>
        <v>32</v>
      </c>
      <c r="S35" s="284"/>
      <c r="T35" s="232"/>
      <c r="U35" s="232"/>
      <c r="V35" s="232"/>
      <c r="W35" s="232"/>
      <c r="X35" s="232"/>
      <c r="Y35" s="232"/>
      <c r="Z35" s="232"/>
      <c r="AA35" s="205">
        <f ca="1">TblImps[[#This Row],[Real time]]</f>
        <v>44406.041666666591</v>
      </c>
      <c r="AB35" s="113">
        <f ca="1">TblMili[[#This Row],[Draftees]]</f>
        <v>261</v>
      </c>
      <c r="AC35" s="113">
        <f ca="1">TblProd[[#This Row],[Platinum]]</f>
        <v>121723</v>
      </c>
      <c r="AD35" s="281"/>
      <c r="AE35" s="49">
        <f ca="1">TblExplore[[#This Row],[Land]]-TblExplore[[#This Row],[Land Bonus]]*20</f>
        <v>299</v>
      </c>
      <c r="AF35" s="113">
        <f ca="1">ROUND(IF(TblExplore[[#This Row],[Land-DB]] &gt;= 300, 1000 + 3*((TblExplore[[#This Row],[Land-DB]]-300)^(MAX(MIN(TblExplore[[#This Row],[Land-DB]]^0.0185/1.05,1.121),1.09))), 1000 - (3 * (300-TblExplore[[#This Row],[Land-DB]])))*(1+ tech_2_6*Techs!AC35 + tech_2_9*Techs!AF35 + tech_3_7*Techs!AN35 + Overview!$I$32),0)</f>
        <v>997</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65</v>
      </c>
    </row>
    <row r="36" spans="1:36" s="49" customFormat="1" x14ac:dyDescent="0.2">
      <c r="A36" s="228">
        <f>TblRezone[[#This Row],[Hour]]</f>
        <v>33</v>
      </c>
      <c r="B36" s="280">
        <f ca="1">TblConstr[[#This Row],[Land]]</f>
        <v>299</v>
      </c>
      <c r="C36" s="281"/>
      <c r="D36" s="282">
        <f ca="1">TblConstr[[#This Row],[Plain]]</f>
        <v>0</v>
      </c>
      <c r="E36" s="236">
        <f ca="1">TblConstr[[#This Row],[Forest]]</f>
        <v>0</v>
      </c>
      <c r="F36" s="478">
        <f ca="1">TblConstr[[#This Row],[Mountain]]</f>
        <v>0</v>
      </c>
      <c r="G36" s="482">
        <f ca="1">TblConstr[[#This Row],[Hill]]</f>
        <v>0</v>
      </c>
      <c r="H36" s="486">
        <f ca="1">TblConstr[[#This Row],[Swamp]]</f>
        <v>0</v>
      </c>
      <c r="I36" s="239">
        <f ca="1">TblConstr[[#This Row],[Cavern]]</f>
        <v>0</v>
      </c>
      <c r="J36" s="240">
        <f ca="1">TblConstr[[#This Row],[Water]]</f>
        <v>0</v>
      </c>
      <c r="K36" s="275"/>
      <c r="L36" s="275"/>
      <c r="M36" s="275"/>
      <c r="N36" s="283">
        <f ca="1">TblMili[[#This Row],[Smithies]]</f>
        <v>0</v>
      </c>
      <c r="O36" s="283">
        <f ca="1">TblPop[[#This Row],[Employment]]</f>
        <v>1</v>
      </c>
      <c r="P36" s="283">
        <f ca="1">TblImps[[#This Row],[Population]]</f>
        <v>0.95137865712481584</v>
      </c>
      <c r="Q36" s="228">
        <f ca="1">TblExplore[[#This Row],[Land]]</f>
        <v>299</v>
      </c>
      <c r="R36" s="228">
        <f>TblExplore[[#This Row],[Hour]]</f>
        <v>33</v>
      </c>
      <c r="S36" s="284"/>
      <c r="T36" s="232"/>
      <c r="U36" s="232"/>
      <c r="V36" s="232"/>
      <c r="W36" s="232"/>
      <c r="X36" s="232"/>
      <c r="Y36" s="232"/>
      <c r="Z36" s="232"/>
      <c r="AA36" s="205">
        <f ca="1">TblImps[[#This Row],[Real time]]</f>
        <v>44406.083333333256</v>
      </c>
      <c r="AB36" s="113">
        <f ca="1">TblMili[[#This Row],[Draftees]]</f>
        <v>301</v>
      </c>
      <c r="AC36" s="113">
        <f ca="1">TblProd[[#This Row],[Platinum]]</f>
        <v>137020</v>
      </c>
      <c r="AD36" s="281"/>
      <c r="AE36" s="49">
        <f ca="1">TblExplore[[#This Row],[Land]]-TblExplore[[#This Row],[Land Bonus]]*20</f>
        <v>299</v>
      </c>
      <c r="AF36" s="113">
        <f ca="1">ROUND(IF(TblExplore[[#This Row],[Land-DB]] &gt;= 300, 1000 + 3*((TblExplore[[#This Row],[Land-DB]]-300)^(MAX(MIN(TblExplore[[#This Row],[Land-DB]]^0.0185/1.05,1.121),1.09))), 1000 - (3 * (300-TblExplore[[#This Row],[Land-DB]])))*(1+ tech_2_6*Techs!AC36 + tech_2_9*Techs!AF36 + tech_3_7*Techs!AN36 + Overview!$I$32),0)</f>
        <v>997</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75</v>
      </c>
    </row>
    <row r="37" spans="1:36" s="49" customFormat="1" x14ac:dyDescent="0.2">
      <c r="A37" s="228">
        <f>TblRezone[[#This Row],[Hour]]</f>
        <v>34</v>
      </c>
      <c r="B37" s="280">
        <f ca="1">TblConstr[[#This Row],[Land]]</f>
        <v>299</v>
      </c>
      <c r="C37" s="281"/>
      <c r="D37" s="282">
        <f ca="1">TblConstr[[#This Row],[Plain]]</f>
        <v>0</v>
      </c>
      <c r="E37" s="236">
        <f ca="1">TblConstr[[#This Row],[Forest]]</f>
        <v>0</v>
      </c>
      <c r="F37" s="478">
        <f ca="1">TblConstr[[#This Row],[Mountain]]</f>
        <v>0</v>
      </c>
      <c r="G37" s="482">
        <f ca="1">TblConstr[[#This Row],[Hill]]</f>
        <v>0</v>
      </c>
      <c r="H37" s="486">
        <f ca="1">TblConstr[[#This Row],[Swamp]]</f>
        <v>0</v>
      </c>
      <c r="I37" s="239">
        <f ca="1">TblConstr[[#This Row],[Cavern]]</f>
        <v>0</v>
      </c>
      <c r="J37" s="240">
        <f ca="1">TblConstr[[#This Row],[Water]]</f>
        <v>0</v>
      </c>
      <c r="K37" s="275"/>
      <c r="L37" s="275"/>
      <c r="M37" s="275"/>
      <c r="N37" s="283">
        <f ca="1">TblMili[[#This Row],[Smithies]]</f>
        <v>0</v>
      </c>
      <c r="O37" s="283">
        <f ca="1">TblPop[[#This Row],[Employment]]</f>
        <v>1</v>
      </c>
      <c r="P37" s="283">
        <f ca="1">TblImps[[#This Row],[Population]]</f>
        <v>1</v>
      </c>
      <c r="Q37" s="228">
        <f ca="1">TblExplore[[#This Row],[Land]]</f>
        <v>299</v>
      </c>
      <c r="R37" s="228">
        <f>TblExplore[[#This Row],[Hour]]</f>
        <v>34</v>
      </c>
      <c r="S37" s="284"/>
      <c r="T37" s="232"/>
      <c r="U37" s="232"/>
      <c r="V37" s="232"/>
      <c r="W37" s="232"/>
      <c r="X37" s="232"/>
      <c r="Y37" s="232"/>
      <c r="Z37" s="232"/>
      <c r="AA37" s="205">
        <f ca="1">TblImps[[#This Row],[Real time]]</f>
        <v>44406.12499999992</v>
      </c>
      <c r="AB37" s="113">
        <f ca="1">TblMili[[#This Row],[Draftees]]</f>
        <v>343</v>
      </c>
      <c r="AC37" s="113">
        <f ca="1">TblProd[[#This Row],[Platinum]]</f>
        <v>152866</v>
      </c>
      <c r="AD37" s="281"/>
      <c r="AE37" s="49">
        <f ca="1">TblExplore[[#This Row],[Land]]-TblExplore[[#This Row],[Land Bonus]]*20</f>
        <v>299</v>
      </c>
      <c r="AF37" s="113">
        <f ca="1">ROUND(IF(TblExplore[[#This Row],[Land-DB]] &gt;= 300, 1000 + 3*((TblExplore[[#This Row],[Land-DB]]-300)^(MAX(MIN(TblExplore[[#This Row],[Land-DB]]^0.0185/1.05,1.121),1.09))), 1000 - (3 * (300-TblExplore[[#This Row],[Land-DB]])))*(1+ tech_2_6*Techs!AC37 + tech_2_9*Techs!AF37 + tech_3_7*Techs!AN37 + Overview!$I$32),0)</f>
        <v>997</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85</v>
      </c>
    </row>
    <row r="38" spans="1:36" s="49" customFormat="1" x14ac:dyDescent="0.2">
      <c r="A38" s="228">
        <f>TblRezone[[#This Row],[Hour]]</f>
        <v>35</v>
      </c>
      <c r="B38" s="280">
        <f ca="1">TblConstr[[#This Row],[Land]]</f>
        <v>299</v>
      </c>
      <c r="C38" s="281"/>
      <c r="D38" s="282">
        <f ca="1">TblConstr[[#This Row],[Plain]]</f>
        <v>0</v>
      </c>
      <c r="E38" s="236">
        <f ca="1">TblConstr[[#This Row],[Forest]]</f>
        <v>0</v>
      </c>
      <c r="F38" s="478">
        <f ca="1">TblConstr[[#This Row],[Mountain]]</f>
        <v>0</v>
      </c>
      <c r="G38" s="482">
        <f ca="1">TblConstr[[#This Row],[Hill]]</f>
        <v>0</v>
      </c>
      <c r="H38" s="486">
        <f ca="1">TblConstr[[#This Row],[Swamp]]</f>
        <v>0</v>
      </c>
      <c r="I38" s="239">
        <f ca="1">TblConstr[[#This Row],[Cavern]]</f>
        <v>0</v>
      </c>
      <c r="J38" s="240">
        <f ca="1">TblConstr[[#This Row],[Water]]</f>
        <v>0</v>
      </c>
      <c r="K38" s="275"/>
      <c r="L38" s="275"/>
      <c r="M38" s="275"/>
      <c r="N38" s="283">
        <f ca="1">TblMili[[#This Row],[Smithies]]</f>
        <v>0</v>
      </c>
      <c r="O38" s="283">
        <f ca="1">TblPop[[#This Row],[Employment]]</f>
        <v>1</v>
      </c>
      <c r="P38" s="283">
        <f ca="1">TblImps[[#This Row],[Population]]</f>
        <v>0.91917491054514844</v>
      </c>
      <c r="Q38" s="228">
        <f ca="1">TblExplore[[#This Row],[Land]]</f>
        <v>299</v>
      </c>
      <c r="R38" s="228">
        <f>TblExplore[[#This Row],[Hour]]</f>
        <v>35</v>
      </c>
      <c r="S38" s="284"/>
      <c r="T38" s="204">
        <v>96</v>
      </c>
      <c r="U38" s="232"/>
      <c r="V38" s="232"/>
      <c r="W38" s="232"/>
      <c r="X38" s="232"/>
      <c r="Y38" s="232"/>
      <c r="Z38" s="232"/>
      <c r="AA38" s="205">
        <f ca="1">TblImps[[#This Row],[Real time]]</f>
        <v>44406.166666666584</v>
      </c>
      <c r="AB38" s="113">
        <f ca="1">TblMili[[#This Row],[Draftees]]</f>
        <v>3</v>
      </c>
      <c r="AC38" s="113">
        <f ca="1">TblProd[[#This Row],[Platinum]]</f>
        <v>73562</v>
      </c>
      <c r="AD38" s="281"/>
      <c r="AE38" s="49">
        <f ca="1">TblExplore[[#This Row],[Land]]-TblExplore[[#This Row],[Land Bonus]]*20</f>
        <v>299</v>
      </c>
      <c r="AF38" s="113">
        <f ca="1">ROUND(IF(TblExplore[[#This Row],[Land-DB]] &gt;= 300, 1000 + 3*((TblExplore[[#This Row],[Land-DB]]-300)^(MAX(MIN(TblExplore[[#This Row],[Land-DB]]^0.0185/1.05,1.121),1.09))), 1000 - (3 * (300-TblExplore[[#This Row],[Land-DB]])))*(1+ tech_2_6*Techs!AC38 + tech_2_9*Techs!AF38 + tech_3_7*Techs!AN38 + Overview!$I$32),0)</f>
        <v>997</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95712</v>
      </c>
      <c r="AI38" s="113">
        <f ca="1">SUM(TblExplore[[#This Row],[Plains Explore]:[Water Explore]])*TblExplore[[#This Row],[Draftees/acre]]</f>
        <v>384</v>
      </c>
      <c r="AJ38" s="49">
        <f ca="1">_xlfn.FLOOR.MATH(MIN(TblExplore[[#This Row],[Platinum]]/TblExplore[[#This Row],[Plat/acre]],TblExplore[[#This Row],[Draftees]]/TblExplore[[#This Row],[Draftees/acre]]))</f>
        <v>0</v>
      </c>
    </row>
    <row r="39" spans="1:36" s="49" customFormat="1" x14ac:dyDescent="0.2">
      <c r="A39" s="228">
        <f>TblRezone[[#This Row],[Hour]]</f>
        <v>36</v>
      </c>
      <c r="B39" s="280">
        <f ca="1">TblConstr[[#This Row],[Land]]</f>
        <v>434</v>
      </c>
      <c r="C39" s="281"/>
      <c r="D39" s="282">
        <f ca="1">TblConstr[[#This Row],[Plain]]</f>
        <v>0</v>
      </c>
      <c r="E39" s="236">
        <f ca="1">TblConstr[[#This Row],[Forest]]</f>
        <v>0</v>
      </c>
      <c r="F39" s="478">
        <f ca="1">TblConstr[[#This Row],[Mountain]]</f>
        <v>0</v>
      </c>
      <c r="G39" s="482">
        <f ca="1">TblConstr[[#This Row],[Hill]]</f>
        <v>0</v>
      </c>
      <c r="H39" s="486">
        <f ca="1">TblConstr[[#This Row],[Swamp]]</f>
        <v>0</v>
      </c>
      <c r="I39" s="239">
        <f ca="1">TblConstr[[#This Row],[Cavern]]</f>
        <v>0</v>
      </c>
      <c r="J39" s="240">
        <f ca="1">TblConstr[[#This Row],[Water]]</f>
        <v>0</v>
      </c>
      <c r="K39" s="275"/>
      <c r="L39" s="275"/>
      <c r="M39" s="275"/>
      <c r="N39" s="283">
        <f ca="1">TblMili[[#This Row],[Smithies]]</f>
        <v>0</v>
      </c>
      <c r="O39" s="283">
        <f ca="1">TblPop[[#This Row],[Employment]]</f>
        <v>1</v>
      </c>
      <c r="P39" s="283">
        <f ca="1">TblImps[[#This Row],[Population]]</f>
        <v>0.8364872313062649</v>
      </c>
      <c r="Q39" s="228">
        <f ca="1">TblExplore[[#This Row],[Land]]</f>
        <v>434</v>
      </c>
      <c r="R39" s="228">
        <f>TblExplore[[#This Row],[Hour]]</f>
        <v>36</v>
      </c>
      <c r="S39" s="284"/>
      <c r="T39" s="232">
        <v>7</v>
      </c>
      <c r="U39" s="232"/>
      <c r="V39" s="232"/>
      <c r="W39" s="232"/>
      <c r="X39" s="232"/>
      <c r="Y39" s="232"/>
      <c r="Z39" s="232"/>
      <c r="AA39" s="205">
        <f ca="1">TblImps[[#This Row],[Real time]]</f>
        <v>44406.208333333248</v>
      </c>
      <c r="AB39" s="113">
        <f ca="1">TblMili[[#This Row],[Draftees]]</f>
        <v>4</v>
      </c>
      <c r="AC39" s="113">
        <f ca="1">TblProd[[#This Row],[Platinum]]</f>
        <v>3179</v>
      </c>
      <c r="AD39" s="281"/>
      <c r="AE39" s="49">
        <f ca="1">TblExplore[[#This Row],[Land]]-TblExplore[[#This Row],[Land Bonus]]*20</f>
        <v>434</v>
      </c>
      <c r="AF39" s="113">
        <f ca="1">ROUND(IF(TblExplore[[#This Row],[Land-DB]] &gt;= 300, 1000 + 3*((TblExplore[[#This Row],[Land-DB]]-300)^(MAX(MIN(TblExplore[[#This Row],[Land-DB]]^0.0185/1.05,1.121),1.09))), 1000 - (3 * (300-TblExplore[[#This Row],[Land-DB]])))*(1+ tech_2_6*Techs!AC39 + tech_2_9*Techs!AF39 + tech_3_7*Techs!AN39 + Overview!$I$32),0)</f>
        <v>1625</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39" s="113">
        <f ca="1">SUM(TblExplore[[#This Row],[Plains Explore]:[Water Explore]])*TblExplore[[#This Row],[Plat/acre]]</f>
        <v>11375</v>
      </c>
      <c r="AI39" s="113">
        <f ca="1">SUM(TblExplore[[#This Row],[Plains Explore]:[Water Explore]])*TblExplore[[#This Row],[Draftees/acre]]</f>
        <v>42</v>
      </c>
      <c r="AJ39" s="49">
        <f ca="1">_xlfn.FLOOR.MATH(MIN(TblExplore[[#This Row],[Platinum]]/TblExplore[[#This Row],[Plat/acre]],TblExplore[[#This Row],[Draftees]]/TblExplore[[#This Row],[Draftees/acre]]))</f>
        <v>0</v>
      </c>
    </row>
    <row r="40" spans="1:36" s="49" customFormat="1" ht="12.75" customHeight="1" x14ac:dyDescent="0.2">
      <c r="A40" s="228">
        <f>TblRezone[[#This Row],[Hour]]</f>
        <v>37</v>
      </c>
      <c r="B40" s="280">
        <f ca="1">TblConstr[[#This Row],[Land]]</f>
        <v>434</v>
      </c>
      <c r="C40" s="281"/>
      <c r="D40" s="282">
        <f ca="1">TblConstr[[#This Row],[Plain]]</f>
        <v>0</v>
      </c>
      <c r="E40" s="236">
        <f ca="1">TblConstr[[#This Row],[Forest]]</f>
        <v>0</v>
      </c>
      <c r="F40" s="478">
        <f ca="1">TblConstr[[#This Row],[Mountain]]</f>
        <v>0</v>
      </c>
      <c r="G40" s="482">
        <f ca="1">TblConstr[[#This Row],[Hill]]</f>
        <v>0</v>
      </c>
      <c r="H40" s="486">
        <f ca="1">TblConstr[[#This Row],[Swamp]]</f>
        <v>0</v>
      </c>
      <c r="I40" s="239">
        <f ca="1">TblConstr[[#This Row],[Cavern]]</f>
        <v>0</v>
      </c>
      <c r="J40" s="240">
        <f ca="1">TblConstr[[#This Row],[Water]]</f>
        <v>0</v>
      </c>
      <c r="K40" s="275"/>
      <c r="L40" s="275"/>
      <c r="M40" s="275"/>
      <c r="N40" s="283">
        <f ca="1">TblMili[[#This Row],[Smithies]]</f>
        <v>0</v>
      </c>
      <c r="O40" s="283">
        <f ca="1">TblPop[[#This Row],[Employment]]</f>
        <v>1</v>
      </c>
      <c r="P40" s="283">
        <f ca="1">TblImps[[#This Row],[Population]]</f>
        <v>0.69459499047898055</v>
      </c>
      <c r="Q40" s="228">
        <f ca="1">TblExplore[[#This Row],[Land]]</f>
        <v>434</v>
      </c>
      <c r="R40" s="228">
        <f>TblExplore[[#This Row],[Hour]]</f>
        <v>37</v>
      </c>
      <c r="S40" s="284"/>
      <c r="T40" s="232">
        <v>8</v>
      </c>
      <c r="U40" s="232"/>
      <c r="V40" s="232"/>
      <c r="W40" s="232"/>
      <c r="X40" s="232"/>
      <c r="Y40" s="232"/>
      <c r="Z40" s="232"/>
      <c r="AA40" s="205">
        <f ca="1">TblImps[[#This Row],[Real time]]</f>
        <v>44406.249999999913</v>
      </c>
      <c r="AB40" s="113">
        <f ca="1">TblMili[[#This Row],[Draftees]]</f>
        <v>1</v>
      </c>
      <c r="AC40" s="113">
        <f ca="1">TblProd[[#This Row],[Platinum]]</f>
        <v>9431</v>
      </c>
      <c r="AD40" s="281"/>
      <c r="AE40" s="49">
        <f ca="1">TblExplore[[#This Row],[Land]]-TblExplore[[#This Row],[Land Bonus]]*20</f>
        <v>434</v>
      </c>
      <c r="AF40" s="113">
        <f ca="1">ROUND(IF(TblExplore[[#This Row],[Land-DB]] &gt;= 300, 1000 + 3*((TblExplore[[#This Row],[Land-DB]]-300)^(MAX(MIN(TblExplore[[#This Row],[Land-DB]]^0.0185/1.05,1.121),1.09))), 1000 - (3 * (300-TblExplore[[#This Row],[Land-DB]])))*(1+ tech_2_6*Techs!AC40 + tech_2_9*Techs!AF40 + tech_3_7*Techs!AN40 + Overview!$I$32),0)</f>
        <v>1625</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0" s="113">
        <f ca="1">SUM(TblExplore[[#This Row],[Plains Explore]:[Water Explore]])*TblExplore[[#This Row],[Plat/acre]]</f>
        <v>13000</v>
      </c>
      <c r="AI40" s="113">
        <f ca="1">SUM(TblExplore[[#This Row],[Plains Explore]:[Water Explore]])*TblExplore[[#This Row],[Draftees/acre]]</f>
        <v>48</v>
      </c>
      <c r="AJ40" s="49">
        <f ca="1">_xlfn.FLOOR.MATH(MIN(TblExplore[[#This Row],[Platinum]]/TblExplore[[#This Row],[Plat/acre]],TblExplore[[#This Row],[Draftees]]/TblExplore[[#This Row],[Draftees/acre]]))</f>
        <v>0</v>
      </c>
    </row>
    <row r="41" spans="1:36" s="49" customFormat="1" x14ac:dyDescent="0.2">
      <c r="A41" s="228">
        <f>TblRezone[[#This Row],[Hour]]</f>
        <v>38</v>
      </c>
      <c r="B41" s="280">
        <f ca="1">TblConstr[[#This Row],[Land]]</f>
        <v>434</v>
      </c>
      <c r="C41" s="281"/>
      <c r="D41" s="282">
        <f ca="1">TblConstr[[#This Row],[Plain]]</f>
        <v>0</v>
      </c>
      <c r="E41" s="236">
        <f ca="1">TblConstr[[#This Row],[Forest]]</f>
        <v>0</v>
      </c>
      <c r="F41" s="478">
        <f ca="1">TblConstr[[#This Row],[Mountain]]</f>
        <v>0</v>
      </c>
      <c r="G41" s="482">
        <f ca="1">TblConstr[[#This Row],[Hill]]</f>
        <v>0</v>
      </c>
      <c r="H41" s="486">
        <f ca="1">TblConstr[[#This Row],[Swamp]]</f>
        <v>0</v>
      </c>
      <c r="I41" s="239">
        <f ca="1">TblConstr[[#This Row],[Cavern]]</f>
        <v>0</v>
      </c>
      <c r="J41" s="240">
        <f ca="1">TblConstr[[#This Row],[Water]]</f>
        <v>0</v>
      </c>
      <c r="K41" s="275"/>
      <c r="L41" s="275"/>
      <c r="M41" s="275"/>
      <c r="N41" s="283">
        <f ca="1">TblMili[[#This Row],[Smithies]]</f>
        <v>0</v>
      </c>
      <c r="O41" s="283">
        <f ca="1">TblPop[[#This Row],[Employment]]</f>
        <v>1</v>
      </c>
      <c r="P41" s="283">
        <f ca="1">TblImps[[#This Row],[Population]]</f>
        <v>0.72389043503735173</v>
      </c>
      <c r="Q41" s="228">
        <f ca="1">TblExplore[[#This Row],[Land]]</f>
        <v>434</v>
      </c>
      <c r="R41" s="228">
        <f>TblExplore[[#This Row],[Hour]]</f>
        <v>38</v>
      </c>
      <c r="S41" s="284"/>
      <c r="T41" s="232">
        <v>8</v>
      </c>
      <c r="U41" s="232"/>
      <c r="V41" s="232"/>
      <c r="W41" s="232"/>
      <c r="X41" s="232"/>
      <c r="Y41" s="232"/>
      <c r="Z41" s="232"/>
      <c r="AA41" s="205">
        <f ca="1">TblImps[[#This Row],[Real time]]</f>
        <v>44406.291666666577</v>
      </c>
      <c r="AB41" s="113">
        <f ca="1">TblMili[[#This Row],[Draftees]]</f>
        <v>0</v>
      </c>
      <c r="AC41" s="113">
        <f ca="1">TblProd[[#This Row],[Platinum]]</f>
        <v>16253</v>
      </c>
      <c r="AD41" s="281"/>
      <c r="AE41" s="49">
        <f ca="1">TblExplore[[#This Row],[Land]]-TblExplore[[#This Row],[Land Bonus]]*20</f>
        <v>434</v>
      </c>
      <c r="AF41" s="113">
        <f ca="1">ROUND(IF(TblExplore[[#This Row],[Land-DB]] &gt;= 300, 1000 + 3*((TblExplore[[#This Row],[Land-DB]]-300)^(MAX(MIN(TblExplore[[#This Row],[Land-DB]]^0.0185/1.05,1.121),1.09))), 1000 - (3 * (300-TblExplore[[#This Row],[Land-DB]])))*(1+ tech_2_6*Techs!AC41 + tech_2_9*Techs!AF41 + tech_3_7*Techs!AN41 + Overview!$I$32),0)</f>
        <v>1625</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1" s="113">
        <f ca="1">SUM(TblExplore[[#This Row],[Plains Explore]:[Water Explore]])*TblExplore[[#This Row],[Plat/acre]]</f>
        <v>13000</v>
      </c>
      <c r="AI41" s="113">
        <f ca="1">SUM(TblExplore[[#This Row],[Plains Explore]:[Water Explore]])*TblExplore[[#This Row],[Draftees/acre]]</f>
        <v>48</v>
      </c>
      <c r="AJ41" s="49">
        <f ca="1">_xlfn.FLOOR.MATH(MIN(TblExplore[[#This Row],[Platinum]]/TblExplore[[#This Row],[Plat/acre]],TblExplore[[#This Row],[Draftees]]/TblExplore[[#This Row],[Draftees/acre]]))</f>
        <v>0</v>
      </c>
    </row>
    <row r="42" spans="1:36" s="49" customFormat="1" x14ac:dyDescent="0.2">
      <c r="A42" s="228">
        <f>TblRezone[[#This Row],[Hour]]</f>
        <v>39</v>
      </c>
      <c r="B42" s="280">
        <f ca="1">TblConstr[[#This Row],[Land]]</f>
        <v>454</v>
      </c>
      <c r="C42" s="281"/>
      <c r="D42" s="282">
        <f ca="1">TblConstr[[#This Row],[Plain]]</f>
        <v>20</v>
      </c>
      <c r="E42" s="236">
        <f ca="1">TblConstr[[#This Row],[Forest]]</f>
        <v>0</v>
      </c>
      <c r="F42" s="478">
        <f ca="1">TblConstr[[#This Row],[Mountain]]</f>
        <v>0</v>
      </c>
      <c r="G42" s="482">
        <f ca="1">TblConstr[[#This Row],[Hill]]</f>
        <v>0</v>
      </c>
      <c r="H42" s="486">
        <f ca="1">TblConstr[[#This Row],[Swamp]]</f>
        <v>0</v>
      </c>
      <c r="I42" s="239">
        <f ca="1">TblConstr[[#This Row],[Cavern]]</f>
        <v>0</v>
      </c>
      <c r="J42" s="240">
        <f ca="1">TblConstr[[#This Row],[Water]]</f>
        <v>0</v>
      </c>
      <c r="K42" s="275"/>
      <c r="L42" s="275"/>
      <c r="M42" s="275"/>
      <c r="N42" s="283">
        <f ca="1">TblMili[[#This Row],[Smithies]]</f>
        <v>0</v>
      </c>
      <c r="O42" s="283">
        <f ca="1">TblPop[[#This Row],[Employment]]</f>
        <v>1</v>
      </c>
      <c r="P42" s="283">
        <f ca="1">TblImps[[#This Row],[Population]]</f>
        <v>0.75552951516039257</v>
      </c>
      <c r="Q42" s="228">
        <f ca="1">TblExplore[[#This Row],[Land]]</f>
        <v>454</v>
      </c>
      <c r="R42" s="228">
        <f>TblExplore[[#This Row],[Hour]]</f>
        <v>39</v>
      </c>
      <c r="S42" s="284">
        <v>1</v>
      </c>
      <c r="T42" s="232">
        <v>7</v>
      </c>
      <c r="U42" s="232"/>
      <c r="V42" s="232"/>
      <c r="W42" s="232"/>
      <c r="X42" s="232"/>
      <c r="Y42" s="232"/>
      <c r="Z42" s="232"/>
      <c r="AA42" s="205">
        <f ca="1">TblImps[[#This Row],[Real time]]</f>
        <v>44406.333333333241</v>
      </c>
      <c r="AB42" s="113">
        <f ca="1">TblMili[[#This Row],[Draftees]]</f>
        <v>7</v>
      </c>
      <c r="AC42" s="113">
        <f ca="1">TblProd[[#This Row],[Platinum]]</f>
        <v>25297</v>
      </c>
      <c r="AD42" s="281"/>
      <c r="AE42" s="49">
        <f ca="1">TblExplore[[#This Row],[Land]]-TblExplore[[#This Row],[Land Bonus]]*20</f>
        <v>434</v>
      </c>
      <c r="AF42" s="113">
        <f ca="1">ROUND(IF(TblExplore[[#This Row],[Land-DB]] &gt;= 300, 1000 + 3*((TblExplore[[#This Row],[Land-DB]]-300)^(MAX(MIN(TblExplore[[#This Row],[Land-DB]]^0.0185/1.05,1.121),1.09))), 1000 - (3 * (300-TblExplore[[#This Row],[Land-DB]])))*(1+ tech_2_6*Techs!AC42 + tech_2_9*Techs!AF42 + tech_3_7*Techs!AN42 + Overview!$I$32),0)</f>
        <v>1625</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2" s="113">
        <f ca="1">SUM(TblExplore[[#This Row],[Plains Explore]:[Water Explore]])*TblExplore[[#This Row],[Plat/acre]]</f>
        <v>11375</v>
      </c>
      <c r="AI42" s="113">
        <f ca="1">SUM(TblExplore[[#This Row],[Plains Explore]:[Water Explore]])*TblExplore[[#This Row],[Draftees/acre]]</f>
        <v>42</v>
      </c>
      <c r="AJ42" s="49">
        <f ca="1">_xlfn.FLOOR.MATH(MIN(TblExplore[[#This Row],[Platinum]]/TblExplore[[#This Row],[Plat/acre]],TblExplore[[#This Row],[Draftees]]/TblExplore[[#This Row],[Draftees/acre]]))</f>
        <v>1</v>
      </c>
    </row>
    <row r="43" spans="1:36" s="49" customFormat="1" x14ac:dyDescent="0.2">
      <c r="A43" s="228">
        <f>TblRezone[[#This Row],[Hour]]</f>
        <v>40</v>
      </c>
      <c r="B43" s="280">
        <f ca="1">TblConstr[[#This Row],[Land]]</f>
        <v>454</v>
      </c>
      <c r="C43" s="281"/>
      <c r="D43" s="282">
        <f ca="1">TblConstr[[#This Row],[Plain]]</f>
        <v>0</v>
      </c>
      <c r="E43" s="236">
        <f ca="1">TblConstr[[#This Row],[Forest]]</f>
        <v>0</v>
      </c>
      <c r="F43" s="478">
        <f ca="1">TblConstr[[#This Row],[Mountain]]</f>
        <v>0</v>
      </c>
      <c r="G43" s="482">
        <f ca="1">TblConstr[[#This Row],[Hill]]</f>
        <v>0</v>
      </c>
      <c r="H43" s="486">
        <f ca="1">TblConstr[[#This Row],[Swamp]]</f>
        <v>0</v>
      </c>
      <c r="I43" s="239">
        <f ca="1">TblConstr[[#This Row],[Cavern]]</f>
        <v>0</v>
      </c>
      <c r="J43" s="240">
        <f ca="1">TblConstr[[#This Row],[Water]]</f>
        <v>0</v>
      </c>
      <c r="K43" s="275"/>
      <c r="L43" s="275"/>
      <c r="M43" s="275"/>
      <c r="N43" s="283">
        <f ca="1">TblMili[[#This Row],[Smithies]]</f>
        <v>0</v>
      </c>
      <c r="O43" s="283">
        <f ca="1">TblPop[[#This Row],[Employment]]</f>
        <v>1</v>
      </c>
      <c r="P43" s="283">
        <f ca="1">TblImps[[#This Row],[Population]]</f>
        <v>0.78294126136527642</v>
      </c>
      <c r="Q43" s="228">
        <f ca="1">TblExplore[[#This Row],[Land]]</f>
        <v>454</v>
      </c>
      <c r="R43" s="228">
        <f>TblExplore[[#This Row],[Hour]]</f>
        <v>40</v>
      </c>
      <c r="S43" s="284"/>
      <c r="T43" s="232"/>
      <c r="U43" s="232"/>
      <c r="V43" s="232"/>
      <c r="W43" s="232"/>
      <c r="X43" s="232"/>
      <c r="Y43" s="232"/>
      <c r="Z43" s="232"/>
      <c r="AA43" s="205">
        <f ca="1">TblImps[[#This Row],[Real time]]</f>
        <v>44406.374999999905</v>
      </c>
      <c r="AB43" s="113">
        <f ca="1">TblMili[[#This Row],[Draftees]]</f>
        <v>58</v>
      </c>
      <c r="AC43" s="113">
        <f ca="1">TblProd[[#This Row],[Platinum]]</f>
        <v>34417</v>
      </c>
      <c r="AD43" s="281"/>
      <c r="AE43" s="49">
        <f ca="1">TblExplore[[#This Row],[Land]]-TblExplore[[#This Row],[Land Bonus]]*20</f>
        <v>454</v>
      </c>
      <c r="AF43" s="113">
        <f ca="1">ROUND(IF(TblExplore[[#This Row],[Land-DB]] &gt;= 300, 1000 + 3*((TblExplore[[#This Row],[Land-DB]]-300)^(MAX(MIN(TblExplore[[#This Row],[Land-DB]]^0.0185/1.05,1.121),1.09))), 1000 - (3 * (300-TblExplore[[#This Row],[Land-DB]])))*(1+ tech_2_6*Techs!AC43 + tech_2_9*Techs!AF43 + tech_3_7*Techs!AN43 + Overview!$I$32),0)</f>
        <v>1727</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9</v>
      </c>
    </row>
    <row r="44" spans="1:36" s="49" customFormat="1" x14ac:dyDescent="0.2">
      <c r="A44" s="228">
        <f>TblRezone[[#This Row],[Hour]]</f>
        <v>41</v>
      </c>
      <c r="B44" s="280">
        <f ca="1">TblConstr[[#This Row],[Land]]</f>
        <v>454</v>
      </c>
      <c r="C44" s="281"/>
      <c r="D44" s="282">
        <f ca="1">TblConstr[[#This Row],[Plain]]</f>
        <v>0</v>
      </c>
      <c r="E44" s="236">
        <f ca="1">TblConstr[[#This Row],[Forest]]</f>
        <v>0</v>
      </c>
      <c r="F44" s="478">
        <f ca="1">TblConstr[[#This Row],[Mountain]]</f>
        <v>0</v>
      </c>
      <c r="G44" s="482">
        <f ca="1">TblConstr[[#This Row],[Hill]]</f>
        <v>0</v>
      </c>
      <c r="H44" s="486">
        <f ca="1">TblConstr[[#This Row],[Swamp]]</f>
        <v>0</v>
      </c>
      <c r="I44" s="239">
        <f ca="1">TblConstr[[#This Row],[Cavern]]</f>
        <v>0</v>
      </c>
      <c r="J44" s="240">
        <f ca="1">TblConstr[[#This Row],[Water]]</f>
        <v>0</v>
      </c>
      <c r="K44" s="275"/>
      <c r="L44" s="275"/>
      <c r="M44" s="275"/>
      <c r="N44" s="283">
        <f ca="1">TblMili[[#This Row],[Smithies]]</f>
        <v>0</v>
      </c>
      <c r="O44" s="283">
        <f ca="1">TblPop[[#This Row],[Employment]]</f>
        <v>1</v>
      </c>
      <c r="P44" s="283">
        <f ca="1">TblImps[[#This Row],[Population]]</f>
        <v>0.79955144379029996</v>
      </c>
      <c r="Q44" s="228">
        <f ca="1">TblExplore[[#This Row],[Land]]</f>
        <v>454</v>
      </c>
      <c r="R44" s="228">
        <f>TblExplore[[#This Row],[Hour]]</f>
        <v>41</v>
      </c>
      <c r="S44" s="284"/>
      <c r="T44" s="232"/>
      <c r="U44" s="232"/>
      <c r="V44" s="232"/>
      <c r="W44" s="232"/>
      <c r="X44" s="232"/>
      <c r="Y44" s="232"/>
      <c r="Z44" s="232"/>
      <c r="AA44" s="205">
        <f ca="1">TblImps[[#This Row],[Real time]]</f>
        <v>44406.41666666657</v>
      </c>
      <c r="AB44" s="113">
        <f ca="1">TblMili[[#This Row],[Draftees]]</f>
        <v>111</v>
      </c>
      <c r="AC44" s="113">
        <f ca="1">TblProd[[#This Row],[Platinum]]</f>
        <v>56098</v>
      </c>
      <c r="AD44" s="281"/>
      <c r="AE44" s="49">
        <f ca="1">TblExplore[[#This Row],[Land]]-TblExplore[[#This Row],[Land Bonus]]*20</f>
        <v>454</v>
      </c>
      <c r="AF44" s="113">
        <f ca="1">ROUND(IF(TblExplore[[#This Row],[Land-DB]] &gt;= 300, 1000 + 3*((TblExplore[[#This Row],[Land-DB]]-300)^(MAX(MIN(TblExplore[[#This Row],[Land-DB]]^0.0185/1.05,1.121),1.09))), 1000 - (3 * (300-TblExplore[[#This Row],[Land-DB]])))*(1+ tech_2_6*Techs!AC44 + tech_2_9*Techs!AF44 + tech_3_7*Techs!AN44 + Overview!$I$32),0)</f>
        <v>1727</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18</v>
      </c>
    </row>
    <row r="45" spans="1:36" s="49" customFormat="1" x14ac:dyDescent="0.2">
      <c r="A45" s="228">
        <f>TblRezone[[#This Row],[Hour]]</f>
        <v>42</v>
      </c>
      <c r="B45" s="280">
        <f ca="1">TblConstr[[#This Row],[Land]]</f>
        <v>454</v>
      </c>
      <c r="C45" s="281"/>
      <c r="D45" s="282">
        <f ca="1">TblConstr[[#This Row],[Plain]]</f>
        <v>0</v>
      </c>
      <c r="E45" s="236">
        <f ca="1">TblConstr[[#This Row],[Forest]]</f>
        <v>0</v>
      </c>
      <c r="F45" s="478">
        <f ca="1">TblConstr[[#This Row],[Mountain]]</f>
        <v>0</v>
      </c>
      <c r="G45" s="482">
        <f ca="1">TblConstr[[#This Row],[Hill]]</f>
        <v>0</v>
      </c>
      <c r="H45" s="486">
        <f ca="1">TblConstr[[#This Row],[Swamp]]</f>
        <v>0</v>
      </c>
      <c r="I45" s="239">
        <f ca="1">TblConstr[[#This Row],[Cavern]]</f>
        <v>0</v>
      </c>
      <c r="J45" s="240">
        <f ca="1">TblConstr[[#This Row],[Water]]</f>
        <v>0</v>
      </c>
      <c r="K45" s="275"/>
      <c r="L45" s="275"/>
      <c r="M45" s="275"/>
      <c r="N45" s="283">
        <f ca="1">TblMili[[#This Row],[Smithies]]</f>
        <v>0</v>
      </c>
      <c r="O45" s="283">
        <f ca="1">TblPop[[#This Row],[Employment]]</f>
        <v>1</v>
      </c>
      <c r="P45" s="283">
        <f ca="1">TblImps[[#This Row],[Population]]</f>
        <v>0.840201850294365</v>
      </c>
      <c r="Q45" s="228">
        <f ca="1">TblExplore[[#This Row],[Land]]</f>
        <v>454</v>
      </c>
      <c r="R45" s="228">
        <f>TblExplore[[#This Row],[Hour]]</f>
        <v>42</v>
      </c>
      <c r="S45" s="284"/>
      <c r="T45" s="232"/>
      <c r="U45" s="232"/>
      <c r="V45" s="232"/>
      <c r="W45" s="232"/>
      <c r="X45" s="232"/>
      <c r="Y45" s="232"/>
      <c r="Z45" s="232"/>
      <c r="AA45" s="205">
        <f ca="1">TblImps[[#This Row],[Real time]]</f>
        <v>44406.458333333234</v>
      </c>
      <c r="AB45" s="113">
        <f ca="1">TblMili[[#This Row],[Draftees]]</f>
        <v>166</v>
      </c>
      <c r="AC45" s="113">
        <f ca="1">TblProd[[#This Row],[Platinum]]</f>
        <v>78451</v>
      </c>
      <c r="AD45" s="281"/>
      <c r="AE45" s="49">
        <f ca="1">TblExplore[[#This Row],[Land]]-TblExplore[[#This Row],[Land Bonus]]*20</f>
        <v>454</v>
      </c>
      <c r="AF45" s="113">
        <f ca="1">ROUND(IF(TblExplore[[#This Row],[Land-DB]] &gt;= 300, 1000 + 3*((TblExplore[[#This Row],[Land-DB]]-300)^(MAX(MIN(TblExplore[[#This Row],[Land-DB]]^0.0185/1.05,1.121),1.09))), 1000 - (3 * (300-TblExplore[[#This Row],[Land-DB]])))*(1+ tech_2_6*Techs!AC45 + tech_2_9*Techs!AF45 + tech_3_7*Techs!AN45 + Overview!$I$32),0)</f>
        <v>1727</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27</v>
      </c>
    </row>
    <row r="46" spans="1:36" s="49" customFormat="1" x14ac:dyDescent="0.2">
      <c r="A46" s="228">
        <f>TblRezone[[#This Row],[Hour]]</f>
        <v>43</v>
      </c>
      <c r="B46" s="280">
        <f ca="1">TblConstr[[#This Row],[Land]]</f>
        <v>454</v>
      </c>
      <c r="C46" s="281"/>
      <c r="D46" s="282">
        <f ca="1">TblConstr[[#This Row],[Plain]]</f>
        <v>0</v>
      </c>
      <c r="E46" s="236">
        <f ca="1">TblConstr[[#This Row],[Forest]]</f>
        <v>0</v>
      </c>
      <c r="F46" s="478">
        <f ca="1">TblConstr[[#This Row],[Mountain]]</f>
        <v>0</v>
      </c>
      <c r="G46" s="482">
        <f ca="1">TblConstr[[#This Row],[Hill]]</f>
        <v>0</v>
      </c>
      <c r="H46" s="486">
        <f ca="1">TblConstr[[#This Row],[Swamp]]</f>
        <v>0</v>
      </c>
      <c r="I46" s="239">
        <f ca="1">TblConstr[[#This Row],[Cavern]]</f>
        <v>0</v>
      </c>
      <c r="J46" s="240">
        <f ca="1">TblConstr[[#This Row],[Water]]</f>
        <v>0</v>
      </c>
      <c r="K46" s="275"/>
      <c r="L46" s="275"/>
      <c r="M46" s="275"/>
      <c r="N46" s="283">
        <f ca="1">TblMili[[#This Row],[Smithies]]</f>
        <v>0</v>
      </c>
      <c r="O46" s="283">
        <f ca="1">TblPop[[#This Row],[Employment]]</f>
        <v>0.9596546571476009</v>
      </c>
      <c r="P46" s="283">
        <f ca="1">TblImps[[#This Row],[Population]]</f>
        <v>0.88267451640033645</v>
      </c>
      <c r="Q46" s="228">
        <f ca="1">TblExplore[[#This Row],[Land]]</f>
        <v>454</v>
      </c>
      <c r="R46" s="228">
        <f>TblExplore[[#This Row],[Hour]]</f>
        <v>43</v>
      </c>
      <c r="S46" s="284"/>
      <c r="T46" s="232"/>
      <c r="U46" s="232"/>
      <c r="V46" s="232"/>
      <c r="W46" s="232"/>
      <c r="X46" s="232"/>
      <c r="Y46" s="232"/>
      <c r="Z46" s="232"/>
      <c r="AA46" s="205">
        <f ca="1">TblImps[[#This Row],[Real time]]</f>
        <v>44406.499999999898</v>
      </c>
      <c r="AB46" s="113">
        <f ca="1">TblMili[[#This Row],[Draftees]]</f>
        <v>224</v>
      </c>
      <c r="AC46" s="113">
        <f ca="1">TblProd[[#This Row],[Platinum]]</f>
        <v>101502</v>
      </c>
      <c r="AD46" s="281"/>
      <c r="AE46" s="49">
        <f ca="1">TblExplore[[#This Row],[Land]]-TblExplore[[#This Row],[Land Bonus]]*20</f>
        <v>454</v>
      </c>
      <c r="AF46" s="113">
        <f ca="1">ROUND(IF(TblExplore[[#This Row],[Land-DB]] &gt;= 300, 1000 + 3*((TblExplore[[#This Row],[Land-DB]]-300)^(MAX(MIN(TblExplore[[#This Row],[Land-DB]]^0.0185/1.05,1.121),1.09))), 1000 - (3 * (300-TblExplore[[#This Row],[Land-DB]])))*(1+ tech_2_6*Techs!AC46 + tech_2_9*Techs!AF46 + tech_3_7*Techs!AN46 + Overview!$I$32),0)</f>
        <v>1727</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37</v>
      </c>
    </row>
    <row r="47" spans="1:36" s="49" customFormat="1" x14ac:dyDescent="0.2">
      <c r="A47" s="228">
        <f>TblRezone[[#This Row],[Hour]]</f>
        <v>44</v>
      </c>
      <c r="B47" s="280">
        <f ca="1">TblConstr[[#This Row],[Land]]</f>
        <v>454</v>
      </c>
      <c r="C47" s="281"/>
      <c r="D47" s="282">
        <f ca="1">TblConstr[[#This Row],[Plain]]</f>
        <v>0</v>
      </c>
      <c r="E47" s="236">
        <f ca="1">TblConstr[[#This Row],[Forest]]</f>
        <v>0</v>
      </c>
      <c r="F47" s="478">
        <f ca="1">TblConstr[[#This Row],[Mountain]]</f>
        <v>0</v>
      </c>
      <c r="G47" s="482">
        <f ca="1">TblConstr[[#This Row],[Hill]]</f>
        <v>0</v>
      </c>
      <c r="H47" s="486">
        <f ca="1">TblConstr[[#This Row],[Swamp]]</f>
        <v>0</v>
      </c>
      <c r="I47" s="239">
        <f ca="1">TblConstr[[#This Row],[Cavern]]</f>
        <v>0</v>
      </c>
      <c r="J47" s="240">
        <f ca="1">TblConstr[[#This Row],[Water]]</f>
        <v>0</v>
      </c>
      <c r="K47" s="275"/>
      <c r="L47" s="275"/>
      <c r="M47" s="275"/>
      <c r="N47" s="283">
        <f ca="1">TblMili[[#This Row],[Smithies]]</f>
        <v>0</v>
      </c>
      <c r="O47" s="283">
        <f ca="1">TblPop[[#This Row],[Employment]]</f>
        <v>0.92052874661570316</v>
      </c>
      <c r="P47" s="283">
        <f ca="1">TblImps[[#This Row],[Population]]</f>
        <v>0.92696944210821419</v>
      </c>
      <c r="Q47" s="228">
        <f ca="1">TblExplore[[#This Row],[Land]]</f>
        <v>454</v>
      </c>
      <c r="R47" s="228">
        <f>TblExplore[[#This Row],[Hour]]</f>
        <v>44</v>
      </c>
      <c r="S47" s="284"/>
      <c r="T47" s="232"/>
      <c r="U47" s="232"/>
      <c r="V47" s="232"/>
      <c r="W47" s="232"/>
      <c r="X47" s="232"/>
      <c r="Y47" s="232"/>
      <c r="Z47" s="232"/>
      <c r="AA47" s="205">
        <f ca="1">TblImps[[#This Row],[Real time]]</f>
        <v>44406.541666666562</v>
      </c>
      <c r="AB47" s="113">
        <f ca="1">TblMili[[#This Row],[Draftees]]</f>
        <v>284</v>
      </c>
      <c r="AC47" s="113">
        <f ca="1">TblProd[[#This Row],[Platinum]]</f>
        <v>124559</v>
      </c>
      <c r="AD47" s="281"/>
      <c r="AE47" s="49">
        <f ca="1">TblExplore[[#This Row],[Land]]-TblExplore[[#This Row],[Land Bonus]]*20</f>
        <v>454</v>
      </c>
      <c r="AF47" s="113">
        <f ca="1">ROUND(IF(TblExplore[[#This Row],[Land-DB]] &gt;= 300, 1000 + 3*((TblExplore[[#This Row],[Land-DB]]-300)^(MAX(MIN(TblExplore[[#This Row],[Land-DB]]^0.0185/1.05,1.121),1.09))), 1000 - (3 * (300-TblExplore[[#This Row],[Land-DB]])))*(1+ tech_2_6*Techs!AC47 + tech_2_9*Techs!AF47 + tech_3_7*Techs!AN47 + Overview!$I$32),0)</f>
        <v>1727</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47</v>
      </c>
    </row>
    <row r="48" spans="1:36" s="49" customFormat="1" x14ac:dyDescent="0.2">
      <c r="A48" s="228">
        <f>TblRezone[[#This Row],[Hour]]</f>
        <v>45</v>
      </c>
      <c r="B48" s="280">
        <f ca="1">TblConstr[[#This Row],[Land]]</f>
        <v>454</v>
      </c>
      <c r="C48" s="281"/>
      <c r="D48" s="282">
        <f ca="1">TblConstr[[#This Row],[Plain]]</f>
        <v>0</v>
      </c>
      <c r="E48" s="236">
        <f ca="1">TblConstr[[#This Row],[Forest]]</f>
        <v>0</v>
      </c>
      <c r="F48" s="478">
        <f ca="1">TblConstr[[#This Row],[Mountain]]</f>
        <v>0</v>
      </c>
      <c r="G48" s="482">
        <f ca="1">TblConstr[[#This Row],[Hill]]</f>
        <v>0</v>
      </c>
      <c r="H48" s="486">
        <f ca="1">TblConstr[[#This Row],[Swamp]]</f>
        <v>0</v>
      </c>
      <c r="I48" s="239">
        <f ca="1">TblConstr[[#This Row],[Cavern]]</f>
        <v>0</v>
      </c>
      <c r="J48" s="240">
        <f ca="1">TblConstr[[#This Row],[Water]]</f>
        <v>0</v>
      </c>
      <c r="K48" s="275"/>
      <c r="L48" s="275"/>
      <c r="M48" s="275"/>
      <c r="N48" s="283">
        <f ca="1">TblMili[[#This Row],[Smithies]]</f>
        <v>0</v>
      </c>
      <c r="O48" s="283">
        <f ca="1">TblPop[[#This Row],[Employment]]</f>
        <v>0.88311688311688308</v>
      </c>
      <c r="P48" s="283">
        <f ca="1">TblImps[[#This Row],[Population]]</f>
        <v>0.97308662741799834</v>
      </c>
      <c r="Q48" s="228">
        <f ca="1">TblExplore[[#This Row],[Land]]</f>
        <v>454</v>
      </c>
      <c r="R48" s="228">
        <f>TblExplore[[#This Row],[Hour]]</f>
        <v>45</v>
      </c>
      <c r="S48" s="284"/>
      <c r="T48" s="232"/>
      <c r="U48" s="232"/>
      <c r="V48" s="232"/>
      <c r="W48" s="232"/>
      <c r="X48" s="232"/>
      <c r="Y48" s="232"/>
      <c r="Z48" s="232"/>
      <c r="AA48" s="205">
        <f ca="1">TblImps[[#This Row],[Real time]]</f>
        <v>44406.583333333227</v>
      </c>
      <c r="AB48" s="113">
        <f ca="1">TblMili[[#This Row],[Draftees]]</f>
        <v>347</v>
      </c>
      <c r="AC48" s="113">
        <f ca="1">TblProd[[#This Row],[Platinum]]</f>
        <v>147616</v>
      </c>
      <c r="AD48" s="281"/>
      <c r="AE48" s="49">
        <f ca="1">TblExplore[[#This Row],[Land]]-TblExplore[[#This Row],[Land Bonus]]*20</f>
        <v>454</v>
      </c>
      <c r="AF48" s="113">
        <f ca="1">ROUND(IF(TblExplore[[#This Row],[Land-DB]] &gt;= 300, 1000 + 3*((TblExplore[[#This Row],[Land-DB]]-300)^(MAX(MIN(TblExplore[[#This Row],[Land-DB]]^0.0185/1.05,1.121),1.09))), 1000 - (3 * (300-TblExplore[[#This Row],[Land-DB]])))*(1+ tech_2_6*Techs!AC48 + tech_2_9*Techs!AF48 + tech_3_7*Techs!AN48 + Overview!$I$32),0)</f>
        <v>1727</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57</v>
      </c>
    </row>
    <row r="49" spans="1:36" s="49" customFormat="1" x14ac:dyDescent="0.2">
      <c r="A49" s="228">
        <f>TblRezone[[#This Row],[Hour]]</f>
        <v>46</v>
      </c>
      <c r="B49" s="280">
        <f ca="1">TblConstr[[#This Row],[Land]]</f>
        <v>454</v>
      </c>
      <c r="C49" s="281"/>
      <c r="D49" s="282">
        <f ca="1">TblConstr[[#This Row],[Plain]]</f>
        <v>0</v>
      </c>
      <c r="E49" s="236">
        <f ca="1">TblConstr[[#This Row],[Forest]]</f>
        <v>0</v>
      </c>
      <c r="F49" s="478">
        <f ca="1">TblConstr[[#This Row],[Mountain]]</f>
        <v>0</v>
      </c>
      <c r="G49" s="482">
        <f ca="1">TblConstr[[#This Row],[Hill]]</f>
        <v>0</v>
      </c>
      <c r="H49" s="486">
        <f ca="1">TblConstr[[#This Row],[Swamp]]</f>
        <v>0</v>
      </c>
      <c r="I49" s="239">
        <f ca="1">TblConstr[[#This Row],[Cavern]]</f>
        <v>0</v>
      </c>
      <c r="J49" s="240">
        <f ca="1">TblConstr[[#This Row],[Water]]</f>
        <v>0</v>
      </c>
      <c r="K49" s="275"/>
      <c r="L49" s="275"/>
      <c r="M49" s="275"/>
      <c r="N49" s="283">
        <f ca="1">TblMili[[#This Row],[Smithies]]</f>
        <v>0</v>
      </c>
      <c r="O49" s="283">
        <f ca="1">TblPop[[#This Row],[Employment]]</f>
        <v>0.86630695443645089</v>
      </c>
      <c r="P49" s="283">
        <f ca="1">TblImps[[#This Row],[Population]]</f>
        <v>1</v>
      </c>
      <c r="Q49" s="228">
        <f ca="1">TblExplore[[#This Row],[Land]]</f>
        <v>454</v>
      </c>
      <c r="R49" s="228">
        <f>TblExplore[[#This Row],[Hour]]</f>
        <v>46</v>
      </c>
      <c r="S49" s="284"/>
      <c r="T49" s="232"/>
      <c r="U49" s="232"/>
      <c r="V49" s="232"/>
      <c r="W49" s="232"/>
      <c r="X49" s="232"/>
      <c r="Y49" s="232"/>
      <c r="Z49" s="232"/>
      <c r="AA49" s="205">
        <f ca="1">TblImps[[#This Row],[Real time]]</f>
        <v>44406.624999999891</v>
      </c>
      <c r="AB49" s="113">
        <f ca="1">TblMili[[#This Row],[Draftees]]</f>
        <v>412</v>
      </c>
      <c r="AC49" s="113">
        <f ca="1">TblProd[[#This Row],[Platinum]]</f>
        <v>170673</v>
      </c>
      <c r="AD49" s="281"/>
      <c r="AE49" s="49">
        <f ca="1">TblExplore[[#This Row],[Land]]-TblExplore[[#This Row],[Land Bonus]]*20</f>
        <v>454</v>
      </c>
      <c r="AF49" s="113">
        <f ca="1">ROUND(IF(TblExplore[[#This Row],[Land-DB]] &gt;= 300, 1000 + 3*((TblExplore[[#This Row],[Land-DB]]-300)^(MAX(MIN(TblExplore[[#This Row],[Land-DB]]^0.0185/1.05,1.121),1.09))), 1000 - (3 * (300-TblExplore[[#This Row],[Land-DB]])))*(1+ tech_2_6*Techs!AC49 + tech_2_9*Techs!AF49 + tech_3_7*Techs!AN49 + Overview!$I$32),0)</f>
        <v>1727</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68</v>
      </c>
    </row>
    <row r="50" spans="1:36" s="49" customFormat="1" x14ac:dyDescent="0.2">
      <c r="A50" s="228">
        <f>TblRezone[[#This Row],[Hour]]</f>
        <v>47</v>
      </c>
      <c r="B50" s="280">
        <f ca="1">TblConstr[[#This Row],[Land]]</f>
        <v>550</v>
      </c>
      <c r="C50" s="281"/>
      <c r="D50" s="282">
        <f ca="1">TblConstr[[#This Row],[Plain]]</f>
        <v>0</v>
      </c>
      <c r="E50" s="236">
        <f ca="1">TblConstr[[#This Row],[Forest]]</f>
        <v>0</v>
      </c>
      <c r="F50" s="478">
        <f ca="1">TblConstr[[#This Row],[Mountain]]</f>
        <v>0</v>
      </c>
      <c r="G50" s="482">
        <f ca="1">TblConstr[[#This Row],[Hill]]</f>
        <v>0</v>
      </c>
      <c r="H50" s="486">
        <f ca="1">TblConstr[[#This Row],[Swamp]]</f>
        <v>0</v>
      </c>
      <c r="I50" s="239">
        <f ca="1">TblConstr[[#This Row],[Cavern]]</f>
        <v>0</v>
      </c>
      <c r="J50" s="240">
        <f ca="1">TblConstr[[#This Row],[Water]]</f>
        <v>0</v>
      </c>
      <c r="K50" s="275"/>
      <c r="L50" s="275"/>
      <c r="M50" s="275"/>
      <c r="N50" s="283">
        <f ca="1">TblMili[[#This Row],[Smithies]]</f>
        <v>0</v>
      </c>
      <c r="O50" s="283">
        <f ca="1">TblPop[[#This Row],[Employment]]</f>
        <v>1</v>
      </c>
      <c r="P50" s="283">
        <f ca="1">TblImps[[#This Row],[Population]]</f>
        <v>0.98006818777865201</v>
      </c>
      <c r="Q50" s="228">
        <f ca="1">TblExplore[[#This Row],[Land]]</f>
        <v>550</v>
      </c>
      <c r="R50" s="228">
        <f>TblExplore[[#This Row],[Hour]]</f>
        <v>47</v>
      </c>
      <c r="S50" s="284"/>
      <c r="T50" s="232"/>
      <c r="U50" s="232"/>
      <c r="V50" s="232"/>
      <c r="W50" s="232"/>
      <c r="X50" s="232"/>
      <c r="Y50" s="232"/>
      <c r="Z50" s="232"/>
      <c r="AA50" s="205">
        <f ca="1">TblImps[[#This Row],[Real time]]</f>
        <v>44406.666666666555</v>
      </c>
      <c r="AB50" s="113">
        <f ca="1">TblMili[[#This Row],[Draftees]]</f>
        <v>479</v>
      </c>
      <c r="AC50" s="113">
        <f ca="1">TblProd[[#This Row],[Platinum]]</f>
        <v>122786</v>
      </c>
      <c r="AD50" s="281"/>
      <c r="AE50" s="49">
        <f ca="1">TblExplore[[#This Row],[Land]]-TblExplore[[#This Row],[Land Bonus]]*20</f>
        <v>550</v>
      </c>
      <c r="AF50" s="113">
        <f ca="1">ROUND(IF(TblExplore[[#This Row],[Land-DB]] &gt;= 300, 1000 + 3*((TblExplore[[#This Row],[Land-DB]]-300)^(MAX(MIN(TblExplore[[#This Row],[Land-DB]]^0.0185/1.05,1.121),1.09))), 1000 - (3 * (300-TblExplore[[#This Row],[Land-DB]])))*(1+ tech_2_6*Techs!AC50 + tech_2_9*Techs!AF50 + tech_3_7*Techs!AN50 + Overview!$I$32),0)</f>
        <v>2233</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54</v>
      </c>
    </row>
    <row r="51" spans="1:36" s="49" customFormat="1" x14ac:dyDescent="0.2">
      <c r="A51" s="228">
        <f>TblRezone[[#This Row],[Hour]]</f>
        <v>48</v>
      </c>
      <c r="B51" s="280">
        <f ca="1">TblConstr[[#This Row],[Land]]</f>
        <v>557</v>
      </c>
      <c r="C51" s="281"/>
      <c r="D51" s="282">
        <f ca="1">TblConstr[[#This Row],[Plain]]</f>
        <v>0</v>
      </c>
      <c r="E51" s="236">
        <f ca="1">TblConstr[[#This Row],[Forest]]</f>
        <v>0</v>
      </c>
      <c r="F51" s="478">
        <f ca="1">TblConstr[[#This Row],[Mountain]]</f>
        <v>0</v>
      </c>
      <c r="G51" s="482">
        <f ca="1">TblConstr[[#This Row],[Hill]]</f>
        <v>0</v>
      </c>
      <c r="H51" s="486">
        <f ca="1">TblConstr[[#This Row],[Swamp]]</f>
        <v>0</v>
      </c>
      <c r="I51" s="239">
        <f ca="1">TblConstr[[#This Row],[Cavern]]</f>
        <v>0</v>
      </c>
      <c r="J51" s="240">
        <f ca="1">TblConstr[[#This Row],[Water]]</f>
        <v>0</v>
      </c>
      <c r="K51" s="275"/>
      <c r="L51" s="275"/>
      <c r="M51" s="275"/>
      <c r="N51" s="283">
        <f ca="1">TblMili[[#This Row],[Smithies]]</f>
        <v>0</v>
      </c>
      <c r="O51" s="283">
        <f ca="1">TblPop[[#This Row],[Employment]]</f>
        <v>1</v>
      </c>
      <c r="P51" s="283">
        <f ca="1">TblImps[[#This Row],[Population]]</f>
        <v>0.9053897756187832</v>
      </c>
      <c r="Q51" s="228">
        <f ca="1">TblExplore[[#This Row],[Land]]</f>
        <v>557</v>
      </c>
      <c r="R51" s="228">
        <f>TblExplore[[#This Row],[Hour]]</f>
        <v>48</v>
      </c>
      <c r="S51" s="284"/>
      <c r="T51" s="232"/>
      <c r="U51" s="232"/>
      <c r="V51" s="232"/>
      <c r="W51" s="232"/>
      <c r="X51" s="232"/>
      <c r="Y51" s="232"/>
      <c r="Z51" s="232"/>
      <c r="AA51" s="205">
        <f ca="1">TblImps[[#This Row],[Real time]]</f>
        <v>44406.708333333219</v>
      </c>
      <c r="AB51" s="113">
        <f ca="1">TblMili[[#This Row],[Draftees]]</f>
        <v>548</v>
      </c>
      <c r="AC51" s="113">
        <f ca="1">TblProd[[#This Row],[Platinum]]</f>
        <v>179048</v>
      </c>
      <c r="AD51" s="281"/>
      <c r="AE51" s="49">
        <f ca="1">TblExplore[[#This Row],[Land]]-TblExplore[[#This Row],[Land Bonus]]*20</f>
        <v>557</v>
      </c>
      <c r="AF51" s="113">
        <f ca="1">ROUND(IF(TblExplore[[#This Row],[Land-DB]] &gt;= 300, 1000 + 3*((TblExplore[[#This Row],[Land-DB]]-300)^(MAX(MIN(TblExplore[[#This Row],[Land-DB]]^0.0185/1.05,1.121),1.09))), 1000 - (3 * (300-TblExplore[[#This Row],[Land-DB]])))*(1+ tech_2_6*Techs!AC51 + tech_2_9*Techs!AF51 + tech_3_7*Techs!AN51 + Overview!$I$32),0)</f>
        <v>2270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78</v>
      </c>
    </row>
    <row r="52" spans="1:36" s="49" customFormat="1" x14ac:dyDescent="0.2">
      <c r="A52" s="228">
        <f>TblRezone[[#This Row],[Hour]]</f>
        <v>49</v>
      </c>
      <c r="B52" s="280">
        <f ca="1">TblConstr[[#This Row],[Land]]</f>
        <v>585</v>
      </c>
      <c r="C52" s="281"/>
      <c r="D52" s="282">
        <f ca="1">TblConstr[[#This Row],[Plain]]</f>
        <v>0</v>
      </c>
      <c r="E52" s="236">
        <f ca="1">TblConstr[[#This Row],[Forest]]</f>
        <v>0</v>
      </c>
      <c r="F52" s="478">
        <f ca="1">TblConstr[[#This Row],[Mountain]]</f>
        <v>0</v>
      </c>
      <c r="G52" s="482">
        <f ca="1">TblConstr[[#This Row],[Hill]]</f>
        <v>0</v>
      </c>
      <c r="H52" s="486">
        <f ca="1">TblConstr[[#This Row],[Swamp]]</f>
        <v>0</v>
      </c>
      <c r="I52" s="239">
        <f ca="1">TblConstr[[#This Row],[Cavern]]</f>
        <v>0</v>
      </c>
      <c r="J52" s="240">
        <f ca="1">TblConstr[[#This Row],[Water]]</f>
        <v>0</v>
      </c>
      <c r="K52" s="275"/>
      <c r="L52" s="294"/>
      <c r="M52" s="295"/>
      <c r="N52" s="283">
        <f ca="1">TblMili[[#This Row],[Smithies]]</f>
        <v>0</v>
      </c>
      <c r="O52" s="283">
        <f ca="1">TblPop[[#This Row],[Employment]]</f>
        <v>1</v>
      </c>
      <c r="P52" s="283">
        <f ca="1">TblImps[[#This Row],[Population]]</f>
        <v>0.93572325607946116</v>
      </c>
      <c r="Q52" s="228">
        <f ca="1">TblExplore[[#This Row],[Land]]</f>
        <v>585</v>
      </c>
      <c r="R52" s="228">
        <f>TblExplore[[#This Row],[Hour]]</f>
        <v>49</v>
      </c>
      <c r="S52" s="284">
        <v>1</v>
      </c>
      <c r="T52" s="232"/>
      <c r="U52" s="232"/>
      <c r="V52" s="232"/>
      <c r="W52" s="232"/>
      <c r="X52" s="232"/>
      <c r="Y52" s="232"/>
      <c r="Z52" s="232"/>
      <c r="AA52" s="205">
        <f ca="1">TblImps[[#This Row],[Real time]]</f>
        <v>44406.749999999884</v>
      </c>
      <c r="AB52" s="113">
        <f ca="1">TblMili[[#This Row],[Draftees]]</f>
        <v>620</v>
      </c>
      <c r="AC52" s="113">
        <f ca="1">TblProd[[#This Row],[Platinum]]</f>
        <v>190631</v>
      </c>
      <c r="AD52" s="281"/>
      <c r="AE52" s="49">
        <f ca="1">TblExplore[[#This Row],[Land]]-TblExplore[[#This Row],[Land Bonus]]*20</f>
        <v>565</v>
      </c>
      <c r="AF52" s="113">
        <f ca="1">ROUND(IF(TblExplore[[#This Row],[Land-DB]] &gt;= 300, 1000 + 3*((TblExplore[[#This Row],[Land-DB]]-300)^(MAX(MIN(TblExplore[[#This Row],[Land-DB]]^0.0185/1.05,1.121),1.09))), 1000 - (3 * (300-TblExplore[[#This Row],[Land-DB]])))*(1+ tech_2_6*Techs!AC52 + tech_2_9*Techs!AF52 + tech_3_7*Techs!AN52 + Overview!$I$32),0)</f>
        <v>2314</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82</v>
      </c>
    </row>
    <row r="53" spans="1:36" s="49" customFormat="1" x14ac:dyDescent="0.2">
      <c r="A53" s="228">
        <f>TblRezone[[#This Row],[Hour]]</f>
        <v>50</v>
      </c>
      <c r="B53" s="280">
        <f ca="1">TblConstr[[#This Row],[Land]]</f>
        <v>593</v>
      </c>
      <c r="C53" s="281"/>
      <c r="D53" s="282">
        <f ca="1">TblConstr[[#This Row],[Plain]]</f>
        <v>0</v>
      </c>
      <c r="E53" s="236">
        <f ca="1">TblConstr[[#This Row],[Forest]]</f>
        <v>0</v>
      </c>
      <c r="F53" s="478">
        <f ca="1">TblConstr[[#This Row],[Mountain]]</f>
        <v>0</v>
      </c>
      <c r="G53" s="482">
        <f ca="1">TblConstr[[#This Row],[Hill]]</f>
        <v>0</v>
      </c>
      <c r="H53" s="486">
        <f ca="1">TblConstr[[#This Row],[Swamp]]</f>
        <v>0</v>
      </c>
      <c r="I53" s="239">
        <f ca="1">TblConstr[[#This Row],[Cavern]]</f>
        <v>0</v>
      </c>
      <c r="J53" s="240">
        <f ca="1">TblConstr[[#This Row],[Water]]</f>
        <v>0</v>
      </c>
      <c r="K53" s="275"/>
      <c r="L53" s="296"/>
      <c r="M53" s="295"/>
      <c r="N53" s="283">
        <f ca="1">TblMili[[#This Row],[Smithies]]</f>
        <v>0</v>
      </c>
      <c r="O53" s="283">
        <f ca="1">TblPop[[#This Row],[Employment]]</f>
        <v>1</v>
      </c>
      <c r="P53" s="283">
        <f ca="1">TblImps[[#This Row],[Population]]</f>
        <v>0.93339862879529878</v>
      </c>
      <c r="Q53" s="228">
        <f ca="1">TblExplore[[#This Row],[Land]]</f>
        <v>593</v>
      </c>
      <c r="R53" s="228">
        <f>TblExplore[[#This Row],[Hour]]</f>
        <v>50</v>
      </c>
      <c r="S53" s="284"/>
      <c r="T53" s="232"/>
      <c r="U53" s="232"/>
      <c r="V53" s="232"/>
      <c r="W53" s="232"/>
      <c r="X53" s="232"/>
      <c r="Y53" s="232"/>
      <c r="Z53" s="232"/>
      <c r="AA53" s="205">
        <f ca="1">TblImps[[#This Row],[Real time]]</f>
        <v>44406.791666666548</v>
      </c>
      <c r="AB53" s="113">
        <f ca="1">TblMili[[#This Row],[Draftees]]</f>
        <v>695</v>
      </c>
      <c r="AC53" s="113">
        <f ca="1">TblProd[[#This Row],[Platinum]]</f>
        <v>218669</v>
      </c>
      <c r="AD53" s="281"/>
      <c r="AE53" s="49">
        <f ca="1">TblExplore[[#This Row],[Land]]-TblExplore[[#This Row],[Land Bonus]]*20</f>
        <v>593</v>
      </c>
      <c r="AF53" s="113">
        <f ca="1">ROUND(IF(TblExplore[[#This Row],[Land-DB]] &gt;= 300, 1000 + 3*((TblExplore[[#This Row],[Land-DB]]-300)^(MAX(MIN(TblExplore[[#This Row],[Land-DB]]^0.0185/1.05,1.121),1.09))), 1000 - (3 * (300-TblExplore[[#This Row],[Land-DB]])))*(1+ tech_2_6*Techs!AC53 + tech_2_9*Techs!AF53 + tech_3_7*Techs!AN53 + Overview!$I$32),0)</f>
        <v>2466</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88</v>
      </c>
    </row>
    <row r="54" spans="1:36" s="49" customFormat="1" x14ac:dyDescent="0.2">
      <c r="A54" s="228">
        <f>TblRezone[[#This Row],[Hour]]</f>
        <v>51</v>
      </c>
      <c r="B54" s="280">
        <f ca="1">TblConstr[[#This Row],[Land]]</f>
        <v>600</v>
      </c>
      <c r="C54" s="281"/>
      <c r="D54" s="282">
        <f ca="1">TblConstr[[#This Row],[Plain]]</f>
        <v>0</v>
      </c>
      <c r="E54" s="236">
        <f ca="1">TblConstr[[#This Row],[Forest]]</f>
        <v>0</v>
      </c>
      <c r="F54" s="478">
        <f ca="1">TblConstr[[#This Row],[Mountain]]</f>
        <v>0</v>
      </c>
      <c r="G54" s="482">
        <f ca="1">TblConstr[[#This Row],[Hill]]</f>
        <v>0</v>
      </c>
      <c r="H54" s="486">
        <f ca="1">TblConstr[[#This Row],[Swamp]]</f>
        <v>0</v>
      </c>
      <c r="I54" s="239">
        <f ca="1">TblConstr[[#This Row],[Cavern]]</f>
        <v>0</v>
      </c>
      <c r="J54" s="240">
        <f ca="1">TblConstr[[#This Row],[Water]]</f>
        <v>0</v>
      </c>
      <c r="K54" s="275"/>
      <c r="L54" s="490" t="s">
        <v>1083</v>
      </c>
      <c r="M54" s="491" t="s">
        <v>314</v>
      </c>
      <c r="N54" s="283">
        <f ca="1">TblMili[[#This Row],[Smithies]]</f>
        <v>0</v>
      </c>
      <c r="O54" s="283">
        <f ca="1">TblPop[[#This Row],[Employment]]</f>
        <v>1</v>
      </c>
      <c r="P54" s="283">
        <f ca="1">TblImps[[#This Row],[Population]]</f>
        <v>0.96400558719243579</v>
      </c>
      <c r="Q54" s="228">
        <f ca="1">TblExplore[[#This Row],[Land]]</f>
        <v>600</v>
      </c>
      <c r="R54" s="228">
        <f>TblExplore[[#This Row],[Hour]]</f>
        <v>51</v>
      </c>
      <c r="S54" s="284"/>
      <c r="T54" s="232"/>
      <c r="U54" s="232"/>
      <c r="V54" s="232"/>
      <c r="W54" s="232"/>
      <c r="X54" s="232"/>
      <c r="Y54" s="232"/>
      <c r="Z54" s="232"/>
      <c r="AA54" s="205">
        <f ca="1">TblImps[[#This Row],[Real time]]</f>
        <v>44406.833333333212</v>
      </c>
      <c r="AB54" s="113">
        <f ca="1">TblMili[[#This Row],[Draftees]]</f>
        <v>773</v>
      </c>
      <c r="AC54" s="113">
        <f ca="1">TblProd[[#This Row],[Platinum]]</f>
        <v>248345</v>
      </c>
      <c r="AD54" s="281"/>
      <c r="AE54" s="49">
        <f ca="1">TblExplore[[#This Row],[Land]]-TblExplore[[#This Row],[Land Bonus]]*20</f>
        <v>600</v>
      </c>
      <c r="AF54" s="113">
        <f ca="1">ROUND(IF(TblExplore[[#This Row],[Land-DB]] &gt;= 300, 1000 + 3*((TblExplore[[#This Row],[Land-DB]]-300)^(MAX(MIN(TblExplore[[#This Row],[Land-DB]]^0.0185/1.05,1.121),1.09))), 1000 - (3 * (300-TblExplore[[#This Row],[Land-DB]])))*(1+ tech_2_6*Techs!AC54 + tech_2_9*Techs!AF54 + tech_3_7*Techs!AN54 + Overview!$I$32),0)</f>
        <v>2504</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99</v>
      </c>
    </row>
    <row r="55" spans="1:36" s="49" customFormat="1" x14ac:dyDescent="0.2">
      <c r="A55" s="228">
        <f>TblRezone[[#This Row],[Hour]]</f>
        <v>52</v>
      </c>
      <c r="B55" s="280">
        <f ca="1">TblConstr[[#This Row],[Land]]</f>
        <v>600</v>
      </c>
      <c r="C55" s="281"/>
      <c r="D55" s="282">
        <f ca="1">TblConstr[[#This Row],[Plain]]</f>
        <v>0</v>
      </c>
      <c r="E55" s="236">
        <f ca="1">TblConstr[[#This Row],[Forest]]</f>
        <v>0</v>
      </c>
      <c r="F55" s="478">
        <f ca="1">TblConstr[[#This Row],[Mountain]]</f>
        <v>0</v>
      </c>
      <c r="G55" s="482">
        <f ca="1">TblConstr[[#This Row],[Hill]]</f>
        <v>0</v>
      </c>
      <c r="H55" s="486">
        <f ca="1">TblConstr[[#This Row],[Swamp]]</f>
        <v>0</v>
      </c>
      <c r="I55" s="239">
        <f ca="1">TblConstr[[#This Row],[Cavern]]</f>
        <v>0</v>
      </c>
      <c r="J55" s="240">
        <f ca="1">TblConstr[[#This Row],[Water]]</f>
        <v>0</v>
      </c>
      <c r="K55" s="275"/>
      <c r="L55" s="492">
        <v>4</v>
      </c>
      <c r="M55" s="493">
        <v>299</v>
      </c>
      <c r="N55" s="283">
        <f ca="1">TblMili[[#This Row],[Smithies]]</f>
        <v>0</v>
      </c>
      <c r="O55" s="283">
        <f ca="1">TblPop[[#This Row],[Employment]]</f>
        <v>1</v>
      </c>
      <c r="P55" s="283">
        <f ca="1">TblImps[[#This Row],[Population]]</f>
        <v>1</v>
      </c>
      <c r="Q55" s="228">
        <f ca="1">TblExplore[[#This Row],[Land]]</f>
        <v>600</v>
      </c>
      <c r="R55" s="228">
        <f>TblExplore[[#This Row],[Hour]]</f>
        <v>52</v>
      </c>
      <c r="S55" s="284"/>
      <c r="T55" s="232"/>
      <c r="U55" s="232"/>
      <c r="V55" s="232"/>
      <c r="W55" s="232"/>
      <c r="X55" s="232"/>
      <c r="Y55" s="232"/>
      <c r="Z55" s="232"/>
      <c r="AA55" s="205">
        <f ca="1">TblImps[[#This Row],[Real time]]</f>
        <v>44406.874999999876</v>
      </c>
      <c r="AB55" s="113">
        <f ca="1">TblMili[[#This Row],[Draftees]]</f>
        <v>854</v>
      </c>
      <c r="AC55" s="113">
        <f ca="1">TblProd[[#This Row],[Platinum]]</f>
        <v>285615</v>
      </c>
      <c r="AD55" s="281"/>
      <c r="AE55" s="49">
        <f ca="1">TblExplore[[#This Row],[Land]]-TblExplore[[#This Row],[Land Bonus]]*20</f>
        <v>600</v>
      </c>
      <c r="AF55" s="113">
        <f ca="1">ROUND(IF(TblExplore[[#This Row],[Land-DB]] &gt;= 300, 1000 + 3*((TblExplore[[#This Row],[Land-DB]]-300)^(MAX(MIN(TblExplore[[#This Row],[Land-DB]]^0.0185/1.05,1.121),1.09))), 1000 - (3 * (300-TblExplore[[#This Row],[Land-DB]])))*(1+ tech_2_6*Techs!AC55 + tech_2_9*Techs!AF55 + tech_3_7*Techs!AN55 + Overview!$I$32),0)</f>
        <v>2504</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114</v>
      </c>
    </row>
    <row r="56" spans="1:36" s="49" customFormat="1" x14ac:dyDescent="0.2">
      <c r="A56" s="228">
        <f>TblRezone[[#This Row],[Hour]]</f>
        <v>53</v>
      </c>
      <c r="B56" s="280">
        <f ca="1">TblConstr[[#This Row],[Land]]</f>
        <v>600</v>
      </c>
      <c r="C56" s="281"/>
      <c r="D56" s="282">
        <f ca="1">TblConstr[[#This Row],[Plain]]</f>
        <v>0</v>
      </c>
      <c r="E56" s="236">
        <f ca="1">TblConstr[[#This Row],[Forest]]</f>
        <v>0</v>
      </c>
      <c r="F56" s="478">
        <f ca="1">TblConstr[[#This Row],[Mountain]]</f>
        <v>0</v>
      </c>
      <c r="G56" s="482">
        <f ca="1">TblConstr[[#This Row],[Hill]]</f>
        <v>0</v>
      </c>
      <c r="H56" s="486">
        <f ca="1">TblConstr[[#This Row],[Swamp]]</f>
        <v>0</v>
      </c>
      <c r="I56" s="239">
        <f ca="1">TblConstr[[#This Row],[Cavern]]</f>
        <v>0</v>
      </c>
      <c r="J56" s="240">
        <f ca="1">TblConstr[[#This Row],[Water]]</f>
        <v>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600</v>
      </c>
      <c r="R56" s="228">
        <f>TblExplore[[#This Row],[Hour]]</f>
        <v>53</v>
      </c>
      <c r="S56" s="284"/>
      <c r="T56" s="232"/>
      <c r="U56" s="232"/>
      <c r="V56" s="232"/>
      <c r="W56" s="232"/>
      <c r="X56" s="232"/>
      <c r="Y56" s="232"/>
      <c r="Z56" s="232"/>
      <c r="AA56" s="205">
        <f ca="1">TblImps[[#This Row],[Real time]]</f>
        <v>44406.916666666541</v>
      </c>
      <c r="AB56" s="113">
        <f ca="1">TblMili[[#This Row],[Draftees]]</f>
        <v>939</v>
      </c>
      <c r="AC56" s="113">
        <f ca="1">TblProd[[#This Row],[Platinum]]</f>
        <v>323853</v>
      </c>
      <c r="AD56" s="281"/>
      <c r="AE56" s="49">
        <f ca="1">TblExplore[[#This Row],[Land]]-TblExplore[[#This Row],[Land Bonus]]*20</f>
        <v>600</v>
      </c>
      <c r="AF56" s="113">
        <f ca="1">ROUND(IF(TblExplore[[#This Row],[Land-DB]] &gt;= 300, 1000 + 3*((TblExplore[[#This Row],[Land-DB]]-300)^(MAX(MIN(TblExplore[[#This Row],[Land-DB]]^0.0185/1.05,1.121),1.09))), 1000 - (3 * (300-TblExplore[[#This Row],[Land-DB]])))*(1+ tech_2_6*Techs!AC56 + tech_2_9*Techs!AF56 + tech_3_7*Techs!AN56 + Overview!$I$32),0)</f>
        <v>2504</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129</v>
      </c>
    </row>
    <row r="57" spans="1:36" s="49" customFormat="1" x14ac:dyDescent="0.2">
      <c r="A57" s="228">
        <f>TblRezone[[#This Row],[Hour]]</f>
        <v>54</v>
      </c>
      <c r="B57" s="280">
        <f ca="1">TblConstr[[#This Row],[Land]]</f>
        <v>600</v>
      </c>
      <c r="C57" s="281"/>
      <c r="D57" s="282">
        <f ca="1">TblConstr[[#This Row],[Plain]]</f>
        <v>0</v>
      </c>
      <c r="E57" s="236">
        <f ca="1">TblConstr[[#This Row],[Forest]]</f>
        <v>0</v>
      </c>
      <c r="F57" s="478">
        <f ca="1">TblConstr[[#This Row],[Mountain]]</f>
        <v>0</v>
      </c>
      <c r="G57" s="482">
        <f ca="1">TblConstr[[#This Row],[Hill]]</f>
        <v>0</v>
      </c>
      <c r="H57" s="486">
        <f ca="1">TblConstr[[#This Row],[Swamp]]</f>
        <v>0</v>
      </c>
      <c r="I57" s="239">
        <f ca="1">TblConstr[[#This Row],[Cavern]]</f>
        <v>0</v>
      </c>
      <c r="J57" s="240">
        <f ca="1">TblConstr[[#This Row],[Water]]</f>
        <v>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600</v>
      </c>
      <c r="R57" s="228">
        <f>TblExplore[[#This Row],[Hour]]</f>
        <v>54</v>
      </c>
      <c r="S57" s="284"/>
      <c r="T57" s="232"/>
      <c r="U57" s="232"/>
      <c r="V57" s="232"/>
      <c r="W57" s="232"/>
      <c r="X57" s="232"/>
      <c r="Y57" s="232"/>
      <c r="Z57" s="232"/>
      <c r="AA57" s="205">
        <f ca="1">TblImps[[#This Row],[Real time]]</f>
        <v>44406.958333333205</v>
      </c>
      <c r="AB57" s="113">
        <f ca="1">TblMili[[#This Row],[Draftees]]</f>
        <v>1023</v>
      </c>
      <c r="AC57" s="113">
        <f ca="1">TblProd[[#This Row],[Platinum]]</f>
        <v>361839</v>
      </c>
      <c r="AD57" s="281"/>
      <c r="AE57" s="49">
        <f ca="1">TblExplore[[#This Row],[Land]]-TblExplore[[#This Row],[Land Bonus]]*20</f>
        <v>600</v>
      </c>
      <c r="AF57" s="113">
        <f ca="1">ROUND(IF(TblExplore[[#This Row],[Land-DB]] &gt;= 300, 1000 + 3*((TblExplore[[#This Row],[Land-DB]]-300)^(MAX(MIN(TblExplore[[#This Row],[Land-DB]]^0.0185/1.05,1.121),1.09))), 1000 - (3 * (300-TblExplore[[#This Row],[Land-DB]])))*(1+ tech_2_6*Techs!AC57 + tech_2_9*Techs!AF57 + tech_3_7*Techs!AN57 + Overview!$I$32),0)</f>
        <v>2504</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144</v>
      </c>
    </row>
    <row r="58" spans="1:36" s="49" customFormat="1" x14ac:dyDescent="0.2">
      <c r="A58" s="228">
        <f>TblRezone[[#This Row],[Hour]]</f>
        <v>55</v>
      </c>
      <c r="B58" s="280">
        <f ca="1">TblConstr[[#This Row],[Land]]</f>
        <v>600</v>
      </c>
      <c r="C58" s="281"/>
      <c r="D58" s="282">
        <f ca="1">TblConstr[[#This Row],[Plain]]</f>
        <v>0</v>
      </c>
      <c r="E58" s="236">
        <f ca="1">TblConstr[[#This Row],[Forest]]</f>
        <v>0</v>
      </c>
      <c r="F58" s="478">
        <f ca="1">TblConstr[[#This Row],[Mountain]]</f>
        <v>0</v>
      </c>
      <c r="G58" s="482">
        <f ca="1">TblConstr[[#This Row],[Hill]]</f>
        <v>0</v>
      </c>
      <c r="H58" s="486">
        <f ca="1">TblConstr[[#This Row],[Swamp]]</f>
        <v>0</v>
      </c>
      <c r="I58" s="239">
        <f ca="1">TblConstr[[#This Row],[Cavern]]</f>
        <v>0</v>
      </c>
      <c r="J58" s="240">
        <f ca="1">TblConstr[[#This Row],[Water]]</f>
        <v>0</v>
      </c>
      <c r="K58" s="275"/>
      <c r="L58" s="492">
        <v>7</v>
      </c>
      <c r="M58" s="493">
        <f t="shared" si="0"/>
        <v>836</v>
      </c>
      <c r="N58" s="283">
        <f ca="1">TblMili[[#This Row],[Smithies]]</f>
        <v>0</v>
      </c>
      <c r="O58" s="283">
        <f ca="1">TblPop[[#This Row],[Employment]]</f>
        <v>1</v>
      </c>
      <c r="P58" s="283">
        <f ca="1">TblImps[[#This Row],[Population]]</f>
        <v>1</v>
      </c>
      <c r="Q58" s="228">
        <f ca="1">TblExplore[[#This Row],[Land]]</f>
        <v>600</v>
      </c>
      <c r="R58" s="228">
        <f>TblExplore[[#This Row],[Hour]]</f>
        <v>55</v>
      </c>
      <c r="S58" s="284"/>
      <c r="T58" s="232"/>
      <c r="U58" s="232"/>
      <c r="V58" s="232"/>
      <c r="W58" s="232"/>
      <c r="X58" s="232"/>
      <c r="Y58" s="232"/>
      <c r="Z58" s="232"/>
      <c r="AA58" s="205">
        <f ca="1">TblImps[[#This Row],[Real time]]</f>
        <v>44406.999999999869</v>
      </c>
      <c r="AB58" s="113">
        <f ca="1">TblMili[[#This Row],[Draftees]]</f>
        <v>1106</v>
      </c>
      <c r="AC58" s="113">
        <f ca="1">TblProd[[#This Row],[Platinum]]</f>
        <v>399575</v>
      </c>
      <c r="AD58" s="281"/>
      <c r="AE58" s="49">
        <f ca="1">TblExplore[[#This Row],[Land]]-TblExplore[[#This Row],[Land Bonus]]*20</f>
        <v>600</v>
      </c>
      <c r="AF58" s="113">
        <f ca="1">ROUND(IF(TblExplore[[#This Row],[Land-DB]] &gt;= 300, 1000 + 3*((TblExplore[[#This Row],[Land-DB]]-300)^(MAX(MIN(TblExplore[[#This Row],[Land-DB]]^0.0185/1.05,1.121),1.09))), 1000 - (3 * (300-TblExplore[[#This Row],[Land-DB]])))*(1+ tech_2_6*Techs!AC58 + tech_2_9*Techs!AF58 + tech_3_7*Techs!AN58 + Overview!$I$32),0)</f>
        <v>2504</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159</v>
      </c>
    </row>
    <row r="59" spans="1:36" s="49" customFormat="1" x14ac:dyDescent="0.2">
      <c r="A59" s="228">
        <f>TblRezone[[#This Row],[Hour]]</f>
        <v>56</v>
      </c>
      <c r="B59" s="280">
        <f ca="1">TblConstr[[#This Row],[Land]]</f>
        <v>600</v>
      </c>
      <c r="C59" s="281"/>
      <c r="D59" s="282">
        <f ca="1">TblConstr[[#This Row],[Plain]]</f>
        <v>0</v>
      </c>
      <c r="E59" s="236">
        <f ca="1">TblConstr[[#This Row],[Forest]]</f>
        <v>0</v>
      </c>
      <c r="F59" s="478">
        <f ca="1">TblConstr[[#This Row],[Mountain]]</f>
        <v>0</v>
      </c>
      <c r="G59" s="482">
        <f ca="1">TblConstr[[#This Row],[Hill]]</f>
        <v>0</v>
      </c>
      <c r="H59" s="486">
        <f ca="1">TblConstr[[#This Row],[Swamp]]</f>
        <v>0</v>
      </c>
      <c r="I59" s="239">
        <f ca="1">TblConstr[[#This Row],[Cavern]]</f>
        <v>0</v>
      </c>
      <c r="J59" s="240">
        <f ca="1">TblConstr[[#This Row],[Water]]</f>
        <v>0</v>
      </c>
      <c r="K59" s="275"/>
      <c r="L59" s="492">
        <v>8</v>
      </c>
      <c r="M59" s="493">
        <f t="shared" si="0"/>
        <v>1035</v>
      </c>
      <c r="N59" s="283">
        <f ca="1">TblMili[[#This Row],[Smithies]]</f>
        <v>0</v>
      </c>
      <c r="O59" s="283">
        <f ca="1">TblPop[[#This Row],[Employment]]</f>
        <v>1</v>
      </c>
      <c r="P59" s="283">
        <f ca="1">TblImps[[#This Row],[Population]]</f>
        <v>1</v>
      </c>
      <c r="Q59" s="228">
        <f ca="1">TblExplore[[#This Row],[Land]]</f>
        <v>600</v>
      </c>
      <c r="R59" s="228">
        <f>TblExplore[[#This Row],[Hour]]</f>
        <v>56</v>
      </c>
      <c r="S59" s="284"/>
      <c r="T59" s="232"/>
      <c r="U59" s="232"/>
      <c r="V59" s="232"/>
      <c r="W59" s="232"/>
      <c r="X59" s="232"/>
      <c r="Y59" s="232"/>
      <c r="Z59" s="232"/>
      <c r="AA59" s="205">
        <f ca="1">TblImps[[#This Row],[Real time]]</f>
        <v>44407.041666666533</v>
      </c>
      <c r="AB59" s="113">
        <f ca="1">TblMili[[#This Row],[Draftees]]</f>
        <v>1188</v>
      </c>
      <c r="AC59" s="113">
        <f ca="1">TblProd[[#This Row],[Platinum]]</f>
        <v>437065</v>
      </c>
      <c r="AD59" s="281"/>
      <c r="AE59" s="49">
        <f ca="1">TblExplore[[#This Row],[Land]]-TblExplore[[#This Row],[Land Bonus]]*20</f>
        <v>600</v>
      </c>
      <c r="AF59" s="113">
        <f ca="1">ROUND(IF(TblExplore[[#This Row],[Land-DB]] &gt;= 300, 1000 + 3*((TblExplore[[#This Row],[Land-DB]]-300)^(MAX(MIN(TblExplore[[#This Row],[Land-DB]]^0.0185/1.05,1.121),1.09))), 1000 - (3 * (300-TblExplore[[#This Row],[Land-DB]])))*(1+ tech_2_6*Techs!AC59 + tech_2_9*Techs!AF59 + tech_3_7*Techs!AN59 + Overview!$I$32),0)</f>
        <v>2504</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174</v>
      </c>
    </row>
    <row r="60" spans="1:36" s="49" customFormat="1" x14ac:dyDescent="0.2">
      <c r="A60" s="228">
        <f>TblRezone[[#This Row],[Hour]]</f>
        <v>57</v>
      </c>
      <c r="B60" s="280">
        <f ca="1">TblConstr[[#This Row],[Land]]</f>
        <v>600</v>
      </c>
      <c r="C60" s="281"/>
      <c r="D60" s="282">
        <f ca="1">TblConstr[[#This Row],[Plain]]</f>
        <v>0</v>
      </c>
      <c r="E60" s="236">
        <f ca="1">TblConstr[[#This Row],[Forest]]</f>
        <v>0</v>
      </c>
      <c r="F60" s="478">
        <f ca="1">TblConstr[[#This Row],[Mountain]]</f>
        <v>0</v>
      </c>
      <c r="G60" s="482">
        <f ca="1">TblConstr[[#This Row],[Hill]]</f>
        <v>0</v>
      </c>
      <c r="H60" s="486">
        <f ca="1">TblConstr[[#This Row],[Swamp]]</f>
        <v>0</v>
      </c>
      <c r="I60" s="239">
        <f ca="1">TblConstr[[#This Row],[Cavern]]</f>
        <v>0</v>
      </c>
      <c r="J60" s="240">
        <f ca="1">TblConstr[[#This Row],[Water]]</f>
        <v>0</v>
      </c>
      <c r="K60" s="275"/>
      <c r="L60" s="492">
        <v>9</v>
      </c>
      <c r="M60" s="493">
        <f t="shared" si="0"/>
        <v>1229</v>
      </c>
      <c r="N60" s="283">
        <f ca="1">TblMili[[#This Row],[Smithies]]</f>
        <v>0</v>
      </c>
      <c r="O60" s="283">
        <f ca="1">TblPop[[#This Row],[Employment]]</f>
        <v>1</v>
      </c>
      <c r="P60" s="283">
        <f ca="1">TblImps[[#This Row],[Population]]</f>
        <v>1</v>
      </c>
      <c r="Q60" s="228">
        <f ca="1">TblExplore[[#This Row],[Land]]</f>
        <v>600</v>
      </c>
      <c r="R60" s="228">
        <f>TblExplore[[#This Row],[Hour]]</f>
        <v>57</v>
      </c>
      <c r="S60" s="284"/>
      <c r="T60" s="232"/>
      <c r="U60" s="232"/>
      <c r="V60" s="232"/>
      <c r="W60" s="232"/>
      <c r="X60" s="232"/>
      <c r="Y60" s="232"/>
      <c r="Z60" s="232"/>
      <c r="AA60" s="205">
        <f ca="1">TblImps[[#This Row],[Real time]]</f>
        <v>44407.083333333198</v>
      </c>
      <c r="AB60" s="113">
        <f ca="1">TblMili[[#This Row],[Draftees]]</f>
        <v>1269</v>
      </c>
      <c r="AC60" s="113">
        <f ca="1">TblProd[[#This Row],[Platinum]]</f>
        <v>474311</v>
      </c>
      <c r="AD60" s="281"/>
      <c r="AE60" s="49">
        <f ca="1">TblExplore[[#This Row],[Land]]-TblExplore[[#This Row],[Land Bonus]]*20</f>
        <v>600</v>
      </c>
      <c r="AF60" s="113">
        <f ca="1">ROUND(IF(TblExplore[[#This Row],[Land-DB]] &gt;= 300, 1000 + 3*((TblExplore[[#This Row],[Land-DB]]-300)^(MAX(MIN(TblExplore[[#This Row],[Land-DB]]^0.0185/1.05,1.121),1.09))), 1000 - (3 * (300-TblExplore[[#This Row],[Land-DB]])))*(1+ tech_2_6*Techs!AC60 + tech_2_9*Techs!AF60 + tech_3_7*Techs!AN60 + Overview!$I$32),0)</f>
        <v>2504</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189</v>
      </c>
    </row>
    <row r="61" spans="1:36" s="49" customFormat="1" x14ac:dyDescent="0.2">
      <c r="A61" s="228">
        <f>TblRezone[[#This Row],[Hour]]</f>
        <v>58</v>
      </c>
      <c r="B61" s="280">
        <f ca="1">TblConstr[[#This Row],[Land]]</f>
        <v>600</v>
      </c>
      <c r="C61" s="281"/>
      <c r="D61" s="282">
        <f ca="1">TblConstr[[#This Row],[Plain]]</f>
        <v>0</v>
      </c>
      <c r="E61" s="236">
        <f ca="1">TblConstr[[#This Row],[Forest]]</f>
        <v>0</v>
      </c>
      <c r="F61" s="478">
        <f ca="1">TblConstr[[#This Row],[Mountain]]</f>
        <v>0</v>
      </c>
      <c r="G61" s="482">
        <f ca="1">TblConstr[[#This Row],[Hill]]</f>
        <v>0</v>
      </c>
      <c r="H61" s="486">
        <f ca="1">TblConstr[[#This Row],[Swamp]]</f>
        <v>0</v>
      </c>
      <c r="I61" s="239">
        <f ca="1">TblConstr[[#This Row],[Cavern]]</f>
        <v>0</v>
      </c>
      <c r="J61" s="240">
        <f ca="1">TblConstr[[#This Row],[Water]]</f>
        <v>0</v>
      </c>
      <c r="K61" s="275"/>
      <c r="L61" s="492">
        <v>10</v>
      </c>
      <c r="M61" s="493">
        <f t="shared" si="0"/>
        <v>1421</v>
      </c>
      <c r="N61" s="283">
        <f ca="1">TblMili[[#This Row],[Smithies]]</f>
        <v>0</v>
      </c>
      <c r="O61" s="283">
        <f ca="1">TblPop[[#This Row],[Employment]]</f>
        <v>1</v>
      </c>
      <c r="P61" s="283">
        <f ca="1">TblImps[[#This Row],[Population]]</f>
        <v>1</v>
      </c>
      <c r="Q61" s="228">
        <f ca="1">TblExplore[[#This Row],[Land]]</f>
        <v>600</v>
      </c>
      <c r="R61" s="228">
        <f>TblExplore[[#This Row],[Hour]]</f>
        <v>58</v>
      </c>
      <c r="S61" s="284"/>
      <c r="T61" s="232"/>
      <c r="U61" s="232"/>
      <c r="V61" s="232"/>
      <c r="W61" s="232"/>
      <c r="X61" s="232"/>
      <c r="Y61" s="232"/>
      <c r="Z61" s="232"/>
      <c r="AA61" s="205">
        <f ca="1">TblImps[[#This Row],[Real time]]</f>
        <v>44407.124999999862</v>
      </c>
      <c r="AB61" s="113">
        <f ca="1">TblMili[[#This Row],[Draftees]]</f>
        <v>1350</v>
      </c>
      <c r="AC61" s="113">
        <f ca="1">TblProd[[#This Row],[Platinum]]</f>
        <v>511317</v>
      </c>
      <c r="AD61" s="281"/>
      <c r="AE61" s="49">
        <f ca="1">TblExplore[[#This Row],[Land]]-TblExplore[[#This Row],[Land Bonus]]*20</f>
        <v>600</v>
      </c>
      <c r="AF61" s="113">
        <f ca="1">ROUND(IF(TblExplore[[#This Row],[Land-DB]] &gt;= 300, 1000 + 3*((TblExplore[[#This Row],[Land-DB]]-300)^(MAX(MIN(TblExplore[[#This Row],[Land-DB]]^0.0185/1.05,1.121),1.09))), 1000 - (3 * (300-TblExplore[[#This Row],[Land-DB]])))*(1+ tech_2_6*Techs!AC61 + tech_2_9*Techs!AF61 + tech_3_7*Techs!AN61 + Overview!$I$32),0)</f>
        <v>2504</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204</v>
      </c>
    </row>
    <row r="62" spans="1:36" s="49" customFormat="1" x14ac:dyDescent="0.2">
      <c r="A62" s="228">
        <f>TblRezone[[#This Row],[Hour]]</f>
        <v>59</v>
      </c>
      <c r="B62" s="280">
        <f ca="1">TblConstr[[#This Row],[Land]]</f>
        <v>600</v>
      </c>
      <c r="C62" s="281"/>
      <c r="D62" s="282">
        <f ca="1">TblConstr[[#This Row],[Plain]]</f>
        <v>0</v>
      </c>
      <c r="E62" s="236">
        <f ca="1">TblConstr[[#This Row],[Forest]]</f>
        <v>0</v>
      </c>
      <c r="F62" s="478">
        <f ca="1">TblConstr[[#This Row],[Mountain]]</f>
        <v>0</v>
      </c>
      <c r="G62" s="482">
        <f ca="1">TblConstr[[#This Row],[Hill]]</f>
        <v>0</v>
      </c>
      <c r="H62" s="486">
        <f ca="1">TblConstr[[#This Row],[Swamp]]</f>
        <v>0</v>
      </c>
      <c r="I62" s="239">
        <f ca="1">TblConstr[[#This Row],[Cavern]]</f>
        <v>0</v>
      </c>
      <c r="J62" s="240">
        <f ca="1">TblConstr[[#This Row],[Water]]</f>
        <v>0</v>
      </c>
      <c r="K62" s="275"/>
      <c r="L62" s="492">
        <v>11</v>
      </c>
      <c r="M62" s="493">
        <f t="shared" si="0"/>
        <v>1610</v>
      </c>
      <c r="N62" s="283">
        <f ca="1">TblMili[[#This Row],[Smithies]]</f>
        <v>0.16</v>
      </c>
      <c r="O62" s="283">
        <f ca="1">TblPop[[#This Row],[Employment]]</f>
        <v>1</v>
      </c>
      <c r="P62" s="283">
        <f ca="1">TblImps[[#This Row],[Population]]</f>
        <v>1</v>
      </c>
      <c r="Q62" s="228">
        <f ca="1">TblExplore[[#This Row],[Land]]</f>
        <v>600</v>
      </c>
      <c r="R62" s="228">
        <f>TblExplore[[#This Row],[Hour]]</f>
        <v>59</v>
      </c>
      <c r="S62" s="284"/>
      <c r="T62" s="232"/>
      <c r="U62" s="232"/>
      <c r="V62" s="232"/>
      <c r="W62" s="232"/>
      <c r="X62" s="232"/>
      <c r="Y62" s="232"/>
      <c r="Z62" s="232"/>
      <c r="AA62" s="205">
        <f ca="1">TblImps[[#This Row],[Real time]]</f>
        <v>44407.166666666526</v>
      </c>
      <c r="AB62" s="113">
        <f ca="1">TblMili[[#This Row],[Draftees]]</f>
        <v>1430</v>
      </c>
      <c r="AC62" s="113">
        <f ca="1">TblProd[[#This Row],[Platinum]]</f>
        <v>548082</v>
      </c>
      <c r="AD62" s="281"/>
      <c r="AE62" s="49">
        <f ca="1">TblExplore[[#This Row],[Land]]-TblExplore[[#This Row],[Land Bonus]]*20</f>
        <v>600</v>
      </c>
      <c r="AF62" s="113">
        <f ca="1">ROUND(IF(TblExplore[[#This Row],[Land-DB]] &gt;= 300, 1000 + 3*((TblExplore[[#This Row],[Land-DB]]-300)^(MAX(MIN(TblExplore[[#This Row],[Land-DB]]^0.0185/1.05,1.121),1.09))), 1000 - (3 * (300-TblExplore[[#This Row],[Land-DB]])))*(1+ tech_2_6*Techs!AC62 + tech_2_9*Techs!AF62 + tech_3_7*Techs!AN62 + Overview!$I$32),0)</f>
        <v>2504</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218</v>
      </c>
    </row>
    <row r="63" spans="1:36" s="49" customFormat="1" x14ac:dyDescent="0.2">
      <c r="A63" s="228">
        <f>TblRezone[[#This Row],[Hour]]</f>
        <v>60</v>
      </c>
      <c r="B63" s="280">
        <f ca="1">TblConstr[[#This Row],[Land]]</f>
        <v>600</v>
      </c>
      <c r="C63" s="281"/>
      <c r="D63" s="282">
        <f ca="1">TblConstr[[#This Row],[Plain]]</f>
        <v>0</v>
      </c>
      <c r="E63" s="236">
        <f ca="1">TblConstr[[#This Row],[Forest]]</f>
        <v>0</v>
      </c>
      <c r="F63" s="478">
        <f ca="1">TblConstr[[#This Row],[Mountain]]</f>
        <v>0</v>
      </c>
      <c r="G63" s="482">
        <f ca="1">TblConstr[[#This Row],[Hill]]</f>
        <v>0</v>
      </c>
      <c r="H63" s="486">
        <f ca="1">TblConstr[[#This Row],[Swamp]]</f>
        <v>0</v>
      </c>
      <c r="I63" s="239">
        <f ca="1">TblConstr[[#This Row],[Cavern]]</f>
        <v>0</v>
      </c>
      <c r="J63" s="240">
        <f ca="1">TblConstr[[#This Row],[Water]]</f>
        <v>0</v>
      </c>
      <c r="K63" s="275"/>
      <c r="L63" s="492">
        <v>12</v>
      </c>
      <c r="M63" s="493">
        <f t="shared" si="0"/>
        <v>1798</v>
      </c>
      <c r="N63" s="283">
        <f ca="1">TblMili[[#This Row],[Smithies]]</f>
        <v>0.17166666666666666</v>
      </c>
      <c r="O63" s="283">
        <f ca="1">TblPop[[#This Row],[Employment]]</f>
        <v>1</v>
      </c>
      <c r="P63" s="283">
        <f ca="1">TblImps[[#This Row],[Population]]</f>
        <v>1</v>
      </c>
      <c r="Q63" s="228">
        <f ca="1">TblExplore[[#This Row],[Land]]</f>
        <v>600</v>
      </c>
      <c r="R63" s="228">
        <f>TblExplore[[#This Row],[Hour]]</f>
        <v>60</v>
      </c>
      <c r="S63" s="284"/>
      <c r="T63" s="232"/>
      <c r="U63" s="232"/>
      <c r="V63" s="232"/>
      <c r="W63" s="232"/>
      <c r="X63" s="232"/>
      <c r="Y63" s="232"/>
      <c r="Z63" s="232"/>
      <c r="AA63" s="205">
        <f ca="1">TblImps[[#This Row],[Real time]]</f>
        <v>44407.20833333319</v>
      </c>
      <c r="AB63" s="113">
        <f ca="1">TblMili[[#This Row],[Draftees]]</f>
        <v>1509</v>
      </c>
      <c r="AC63" s="113">
        <f ca="1">TblProd[[#This Row],[Platinum]]</f>
        <v>584610</v>
      </c>
      <c r="AD63" s="281"/>
      <c r="AE63" s="49">
        <f ca="1">TblExplore[[#This Row],[Land]]-TblExplore[[#This Row],[Land Bonus]]*20</f>
        <v>600</v>
      </c>
      <c r="AF63" s="113">
        <f ca="1">ROUND(IF(TblExplore[[#This Row],[Land-DB]] &gt;= 300, 1000 + 3*((TblExplore[[#This Row],[Land-DB]]-300)^(MAX(MIN(TblExplore[[#This Row],[Land-DB]]^0.0185/1.05,1.121),1.09))), 1000 - (3 * (300-TblExplore[[#This Row],[Land-DB]])))*(1+ tech_2_6*Techs!AC63 + tech_2_9*Techs!AF63 + tech_3_7*Techs!AN63 + Overview!$I$32),0)</f>
        <v>2504</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233</v>
      </c>
    </row>
    <row r="64" spans="1:36" s="49" customFormat="1" x14ac:dyDescent="0.2">
      <c r="A64" s="228">
        <f>TblRezone[[#This Row],[Hour]]</f>
        <v>61</v>
      </c>
      <c r="B64" s="280">
        <f ca="1">TblConstr[[#This Row],[Land]]</f>
        <v>600</v>
      </c>
      <c r="C64" s="281"/>
      <c r="D64" s="282">
        <f ca="1">TblConstr[[#This Row],[Plain]]</f>
        <v>0</v>
      </c>
      <c r="E64" s="236">
        <f ca="1">TblConstr[[#This Row],[Forest]]</f>
        <v>0</v>
      </c>
      <c r="F64" s="478">
        <f ca="1">TblConstr[[#This Row],[Mountain]]</f>
        <v>0</v>
      </c>
      <c r="G64" s="482">
        <f ca="1">TblConstr[[#This Row],[Hill]]</f>
        <v>0</v>
      </c>
      <c r="H64" s="486">
        <f ca="1">TblConstr[[#This Row],[Swamp]]</f>
        <v>0</v>
      </c>
      <c r="I64" s="239">
        <f ca="1">TblConstr[[#This Row],[Cavern]]</f>
        <v>0</v>
      </c>
      <c r="J64" s="240">
        <f ca="1">TblConstr[[#This Row],[Water]]</f>
        <v>0</v>
      </c>
      <c r="K64" s="275"/>
      <c r="L64" s="492">
        <v>13</v>
      </c>
      <c r="M64" s="493">
        <f t="shared" si="0"/>
        <v>1984</v>
      </c>
      <c r="N64" s="283">
        <f ca="1">TblMili[[#This Row],[Smithies]]</f>
        <v>0.18</v>
      </c>
      <c r="O64" s="283">
        <f ca="1">TblPop[[#This Row],[Employment]]</f>
        <v>1</v>
      </c>
      <c r="P64" s="283">
        <f ca="1">TblImps[[#This Row],[Population]]</f>
        <v>1</v>
      </c>
      <c r="Q64" s="228">
        <f ca="1">TblExplore[[#This Row],[Land]]</f>
        <v>600</v>
      </c>
      <c r="R64" s="228">
        <f>TblExplore[[#This Row],[Hour]]</f>
        <v>61</v>
      </c>
      <c r="S64" s="284"/>
      <c r="T64" s="232"/>
      <c r="U64" s="232"/>
      <c r="V64" s="232"/>
      <c r="W64" s="232"/>
      <c r="X64" s="232"/>
      <c r="Y64" s="232"/>
      <c r="Z64" s="232"/>
      <c r="AA64" s="205">
        <f ca="1">TblImps[[#This Row],[Real time]]</f>
        <v>44407.249999999854</v>
      </c>
      <c r="AB64" s="113">
        <f ca="1">TblMili[[#This Row],[Draftees]]</f>
        <v>842</v>
      </c>
      <c r="AC64" s="113">
        <f ca="1">TblProd[[#This Row],[Platinum]]</f>
        <v>81283</v>
      </c>
      <c r="AD64" s="281"/>
      <c r="AE64" s="49">
        <f ca="1">TblExplore[[#This Row],[Land]]-TblExplore[[#This Row],[Land Bonus]]*20</f>
        <v>600</v>
      </c>
      <c r="AF64" s="113">
        <f ca="1">ROUND(IF(TblExplore[[#This Row],[Land-DB]] &gt;= 300, 1000 + 3*((TblExplore[[#This Row],[Land-DB]]-300)^(MAX(MIN(TblExplore[[#This Row],[Land-DB]]^0.0185/1.05,1.121),1.09))), 1000 - (3 * (300-TblExplore[[#This Row],[Land-DB]])))*(1+ tech_2_6*Techs!AC64 + tech_2_9*Techs!AF64 + tech_3_7*Techs!AN64 + Overview!$I$32),0)</f>
        <v>2504</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32</v>
      </c>
    </row>
    <row r="65" spans="1:37" s="49" customFormat="1" x14ac:dyDescent="0.2">
      <c r="A65" s="228">
        <f>TblRezone[[#This Row],[Hour]]</f>
        <v>62</v>
      </c>
      <c r="B65" s="280">
        <f ca="1">TblConstr[[#This Row],[Land]]</f>
        <v>600</v>
      </c>
      <c r="C65" s="281"/>
      <c r="D65" s="282">
        <f ca="1">TblConstr[[#This Row],[Plain]]</f>
        <v>0</v>
      </c>
      <c r="E65" s="236">
        <f ca="1">TblConstr[[#This Row],[Forest]]</f>
        <v>0</v>
      </c>
      <c r="F65" s="478">
        <f ca="1">TblConstr[[#This Row],[Mountain]]</f>
        <v>0</v>
      </c>
      <c r="G65" s="482">
        <f ca="1">TblConstr[[#This Row],[Hill]]</f>
        <v>0</v>
      </c>
      <c r="H65" s="486">
        <f ca="1">TblConstr[[#This Row],[Swamp]]</f>
        <v>0</v>
      </c>
      <c r="I65" s="239">
        <f ca="1">TblConstr[[#This Row],[Cavern]]</f>
        <v>0</v>
      </c>
      <c r="J65" s="240">
        <f ca="1">TblConstr[[#This Row],[Water]]</f>
        <v>0</v>
      </c>
      <c r="K65" s="275"/>
      <c r="L65" s="492">
        <v>14</v>
      </c>
      <c r="M65" s="493">
        <f t="shared" si="0"/>
        <v>2168</v>
      </c>
      <c r="N65" s="283">
        <f ca="1">TblMili[[#This Row],[Smithies]]</f>
        <v>0.18</v>
      </c>
      <c r="O65" s="283">
        <f ca="1">TblPop[[#This Row],[Employment]]</f>
        <v>1</v>
      </c>
      <c r="P65" s="283">
        <f ca="1">TblImps[[#This Row],[Population]]</f>
        <v>1</v>
      </c>
      <c r="Q65" s="228">
        <f ca="1">TblExplore[[#This Row],[Land]]</f>
        <v>600</v>
      </c>
      <c r="R65" s="228">
        <f>TblExplore[[#This Row],[Hour]]</f>
        <v>62</v>
      </c>
      <c r="S65" s="284"/>
      <c r="T65" s="232"/>
      <c r="U65" s="232"/>
      <c r="V65" s="232"/>
      <c r="W65" s="232"/>
      <c r="X65" s="232"/>
      <c r="Y65" s="232"/>
      <c r="Z65" s="232"/>
      <c r="AA65" s="205">
        <f ca="1">TblImps[[#This Row],[Real time]]</f>
        <v>44407.291666666519</v>
      </c>
      <c r="AB65" s="113">
        <f ca="1">TblMili[[#This Row],[Draftees]]</f>
        <v>923</v>
      </c>
      <c r="AC65" s="113">
        <f ca="1">TblProd[[#This Row],[Platinum]]</f>
        <v>118393</v>
      </c>
      <c r="AD65" s="281"/>
      <c r="AE65" s="49">
        <f ca="1">TblExplore[[#This Row],[Land]]-TblExplore[[#This Row],[Land Bonus]]*20</f>
        <v>600</v>
      </c>
      <c r="AF65" s="113">
        <f ca="1">ROUND(IF(TblExplore[[#This Row],[Land-DB]] &gt;= 300, 1000 + 3*((TblExplore[[#This Row],[Land-DB]]-300)^(MAX(MIN(TblExplore[[#This Row],[Land-DB]]^0.0185/1.05,1.121),1.09))), 1000 - (3 * (300-TblExplore[[#This Row],[Land-DB]])))*(1+ tech_2_6*Techs!AC65 + tech_2_9*Techs!AF65 + tech_3_7*Techs!AN65 + Overview!$I$32),0)</f>
        <v>2504</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47</v>
      </c>
    </row>
    <row r="66" spans="1:37" s="49" customFormat="1" x14ac:dyDescent="0.2">
      <c r="A66" s="228">
        <f>TblRezone[[#This Row],[Hour]]</f>
        <v>63</v>
      </c>
      <c r="B66" s="280">
        <f ca="1">TblConstr[[#This Row],[Land]]</f>
        <v>600</v>
      </c>
      <c r="C66" s="281"/>
      <c r="D66" s="282">
        <f ca="1">TblConstr[[#This Row],[Plain]]</f>
        <v>0</v>
      </c>
      <c r="E66" s="236">
        <f ca="1">TblConstr[[#This Row],[Forest]]</f>
        <v>0</v>
      </c>
      <c r="F66" s="478">
        <f ca="1">TblConstr[[#This Row],[Mountain]]</f>
        <v>0</v>
      </c>
      <c r="G66" s="482">
        <f ca="1">TblConstr[[#This Row],[Hill]]</f>
        <v>0</v>
      </c>
      <c r="H66" s="486">
        <f ca="1">TblConstr[[#This Row],[Swamp]]</f>
        <v>0</v>
      </c>
      <c r="I66" s="239">
        <f ca="1">TblConstr[[#This Row],[Cavern]]</f>
        <v>0</v>
      </c>
      <c r="J66" s="240">
        <f ca="1">TblConstr[[#This Row],[Water]]</f>
        <v>0</v>
      </c>
      <c r="K66" s="275"/>
      <c r="L66" s="492">
        <v>15</v>
      </c>
      <c r="M66" s="493">
        <f t="shared" si="0"/>
        <v>2352</v>
      </c>
      <c r="N66" s="283">
        <f ca="1">TblMili[[#This Row],[Smithies]]</f>
        <v>0.18</v>
      </c>
      <c r="O66" s="283">
        <f ca="1">TblPop[[#This Row],[Employment]]</f>
        <v>1</v>
      </c>
      <c r="P66" s="283">
        <f ca="1">TblImps[[#This Row],[Population]]</f>
        <v>1</v>
      </c>
      <c r="Q66" s="228">
        <f ca="1">TblExplore[[#This Row],[Land]]</f>
        <v>600</v>
      </c>
      <c r="R66" s="228">
        <f>TblExplore[[#This Row],[Hour]]</f>
        <v>63</v>
      </c>
      <c r="S66" s="284"/>
      <c r="T66" s="232"/>
      <c r="U66" s="232"/>
      <c r="V66" s="232"/>
      <c r="W66" s="232"/>
      <c r="X66" s="232"/>
      <c r="Y66" s="232"/>
      <c r="Z66" s="232"/>
      <c r="AA66" s="205">
        <f ca="1">TblImps[[#This Row],[Real time]]</f>
        <v>44407.333333333183</v>
      </c>
      <c r="AB66" s="113">
        <f ca="1">TblMili[[#This Row],[Draftees]]</f>
        <v>1004</v>
      </c>
      <c r="AC66" s="113">
        <f ca="1">TblProd[[#This Row],[Platinum]]</f>
        <v>155627</v>
      </c>
      <c r="AD66" s="281"/>
      <c r="AE66" s="49">
        <f ca="1">TblExplore[[#This Row],[Land]]-TblExplore[[#This Row],[Land Bonus]]*20</f>
        <v>600</v>
      </c>
      <c r="AF66" s="113">
        <f ca="1">ROUND(IF(TblExplore[[#This Row],[Land-DB]] &gt;= 300, 1000 + 3*((TblExplore[[#This Row],[Land-DB]]-300)^(MAX(MIN(TblExplore[[#This Row],[Land-DB]]^0.0185/1.05,1.121),1.09))), 1000 - (3 * (300-TblExplore[[#This Row],[Land-DB]])))*(1+ tech_2_6*Techs!AC66 + tech_2_9*Techs!AF66 + tech_3_7*Techs!AN66 + Overview!$I$32),0)</f>
        <v>2504</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62</v>
      </c>
    </row>
    <row r="67" spans="1:37" s="49" customFormat="1" x14ac:dyDescent="0.2">
      <c r="A67" s="228">
        <f>TblRezone[[#This Row],[Hour]]</f>
        <v>64</v>
      </c>
      <c r="B67" s="280">
        <f ca="1">TblConstr[[#This Row],[Land]]</f>
        <v>600</v>
      </c>
      <c r="C67" s="281"/>
      <c r="D67" s="282">
        <f ca="1">TblConstr[[#This Row],[Plain]]</f>
        <v>0</v>
      </c>
      <c r="E67" s="236">
        <f ca="1">TblConstr[[#This Row],[Forest]]</f>
        <v>0</v>
      </c>
      <c r="F67" s="478">
        <f ca="1">TblConstr[[#This Row],[Mountain]]</f>
        <v>0</v>
      </c>
      <c r="G67" s="482">
        <f ca="1">TblConstr[[#This Row],[Hill]]</f>
        <v>0</v>
      </c>
      <c r="H67" s="486">
        <f ca="1">TblConstr[[#This Row],[Swamp]]</f>
        <v>0</v>
      </c>
      <c r="I67" s="239">
        <f ca="1">TblConstr[[#This Row],[Cavern]]</f>
        <v>0</v>
      </c>
      <c r="J67" s="240">
        <f ca="1">TblConstr[[#This Row],[Water]]</f>
        <v>0</v>
      </c>
      <c r="K67" s="275"/>
      <c r="L67" s="492">
        <v>16</v>
      </c>
      <c r="M67" s="493">
        <f t="shared" si="0"/>
        <v>2534</v>
      </c>
      <c r="N67" s="283">
        <f ca="1">TblMili[[#This Row],[Smithies]]</f>
        <v>0.18</v>
      </c>
      <c r="O67" s="283">
        <f ca="1">TblPop[[#This Row],[Employment]]</f>
        <v>1</v>
      </c>
      <c r="P67" s="283">
        <f ca="1">TblImps[[#This Row],[Population]]</f>
        <v>1</v>
      </c>
      <c r="Q67" s="228">
        <f ca="1">TblExplore[[#This Row],[Land]]</f>
        <v>600</v>
      </c>
      <c r="R67" s="228">
        <f>TblExplore[[#This Row],[Hour]]</f>
        <v>64</v>
      </c>
      <c r="S67" s="284"/>
      <c r="T67" s="232"/>
      <c r="U67" s="232"/>
      <c r="V67" s="232"/>
      <c r="W67" s="232"/>
      <c r="X67" s="232"/>
      <c r="Y67" s="232"/>
      <c r="Z67" s="232"/>
      <c r="AA67" s="205">
        <f ca="1">TblImps[[#This Row],[Real time]]</f>
        <v>44407.374999999847</v>
      </c>
      <c r="AB67" s="113">
        <f ca="1">TblMili[[#This Row],[Draftees]]</f>
        <v>5</v>
      </c>
      <c r="AC67" s="113">
        <f ca="1">TblProd[[#This Row],[Platinum]]</f>
        <v>2686</v>
      </c>
      <c r="AD67" s="281"/>
      <c r="AE67" s="49">
        <f ca="1">TblExplore[[#This Row],[Land]]-TblExplore[[#This Row],[Land Bonus]]*20</f>
        <v>600</v>
      </c>
      <c r="AF67" s="113">
        <f ca="1">ROUND(IF(TblExplore[[#This Row],[Land-DB]] &gt;= 300, 1000 + 3*((TblExplore[[#This Row],[Land-DB]]-300)^(MAX(MIN(TblExplore[[#This Row],[Land-DB]]^0.0185/1.05,1.121),1.09))), 1000 - (3 * (300-TblExplore[[#This Row],[Land-DB]])))*(1+ tech_2_6*Techs!AC67 + tech_2_9*Techs!AF67 + tech_3_7*Techs!AN67 + Overview!$I$32),0)</f>
        <v>2504</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0</v>
      </c>
    </row>
    <row r="68" spans="1:37" s="49" customFormat="1" x14ac:dyDescent="0.2">
      <c r="A68" s="228">
        <f>TblRezone[[#This Row],[Hour]]</f>
        <v>65</v>
      </c>
      <c r="B68" s="280">
        <f ca="1">TblConstr[[#This Row],[Land]]</f>
        <v>600</v>
      </c>
      <c r="C68" s="281"/>
      <c r="D68" s="282">
        <f ca="1">TblConstr[[#This Row],[Plain]]</f>
        <v>0</v>
      </c>
      <c r="E68" s="236">
        <f ca="1">TblConstr[[#This Row],[Forest]]</f>
        <v>0</v>
      </c>
      <c r="F68" s="478">
        <f ca="1">TblConstr[[#This Row],[Mountain]]</f>
        <v>0</v>
      </c>
      <c r="G68" s="482">
        <f ca="1">TblConstr[[#This Row],[Hill]]</f>
        <v>0</v>
      </c>
      <c r="H68" s="486">
        <f ca="1">TblConstr[[#This Row],[Swamp]]</f>
        <v>0</v>
      </c>
      <c r="I68" s="239">
        <f ca="1">TblConstr[[#This Row],[Cavern]]</f>
        <v>0</v>
      </c>
      <c r="J68" s="240">
        <f ca="1">TblConstr[[#This Row],[Water]]</f>
        <v>0</v>
      </c>
      <c r="K68" s="275"/>
      <c r="L68" s="492">
        <v>17</v>
      </c>
      <c r="M68" s="493">
        <f t="shared" si="0"/>
        <v>2715</v>
      </c>
      <c r="N68" s="283">
        <f ca="1">TblMili[[#This Row],[Smithies]]</f>
        <v>0.18</v>
      </c>
      <c r="O68" s="283">
        <f ca="1">TblPop[[#This Row],[Employment]]</f>
        <v>1</v>
      </c>
      <c r="P68" s="283">
        <f ca="1">TblImps[[#This Row],[Population]]</f>
        <v>1</v>
      </c>
      <c r="Q68" s="228">
        <f ca="1">TblExplore[[#This Row],[Land]]</f>
        <v>600</v>
      </c>
      <c r="R68" s="228">
        <f>TblExplore[[#This Row],[Hour]]</f>
        <v>65</v>
      </c>
      <c r="S68" s="284"/>
      <c r="T68" s="232"/>
      <c r="U68" s="232"/>
      <c r="V68" s="232"/>
      <c r="W68" s="232"/>
      <c r="X68" s="232"/>
      <c r="Y68" s="232"/>
      <c r="Z68" s="232"/>
      <c r="AA68" s="205">
        <f ca="1">TblImps[[#This Row],[Real time]]</f>
        <v>44407.416666666511</v>
      </c>
      <c r="AB68" s="113">
        <f ca="1">TblMili[[#This Row],[Draftees]]</f>
        <v>86</v>
      </c>
      <c r="AC68" s="113">
        <f ca="1">TblProd[[#This Row],[Platinum]]</f>
        <v>39757</v>
      </c>
      <c r="AD68" s="281"/>
      <c r="AE68" s="49">
        <f ca="1">TblExplore[[#This Row],[Land]]-TblExplore[[#This Row],[Land Bonus]]*20</f>
        <v>600</v>
      </c>
      <c r="AF68" s="113">
        <f ca="1">ROUND(IF(TblExplore[[#This Row],[Land-DB]] &gt;= 300, 1000 + 3*((TblExplore[[#This Row],[Land-DB]]-300)^(MAX(MIN(TblExplore[[#This Row],[Land-DB]]^0.0185/1.05,1.121),1.09))), 1000 - (3 * (300-TblExplore[[#This Row],[Land-DB]])))*(1+ tech_2_6*Techs!AC68 + tech_2_9*Techs!AF68 + tech_3_7*Techs!AN68 + Overview!$I$32),0)</f>
        <v>2504</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14</v>
      </c>
    </row>
    <row r="69" spans="1:37" s="49" customFormat="1" x14ac:dyDescent="0.2">
      <c r="A69" s="228">
        <f>TblRezone[[#This Row],[Hour]]</f>
        <v>66</v>
      </c>
      <c r="B69" s="280">
        <f ca="1">TblConstr[[#This Row],[Land]]</f>
        <v>600</v>
      </c>
      <c r="C69" s="281"/>
      <c r="D69" s="282">
        <f ca="1">TblConstr[[#This Row],[Plain]]</f>
        <v>0</v>
      </c>
      <c r="E69" s="236">
        <f ca="1">TblConstr[[#This Row],[Forest]]</f>
        <v>0</v>
      </c>
      <c r="F69" s="478">
        <f ca="1">TblConstr[[#This Row],[Mountain]]</f>
        <v>0</v>
      </c>
      <c r="G69" s="482">
        <f ca="1">TblConstr[[#This Row],[Hill]]</f>
        <v>0</v>
      </c>
      <c r="H69" s="486">
        <f ca="1">TblConstr[[#This Row],[Swamp]]</f>
        <v>0</v>
      </c>
      <c r="I69" s="239">
        <f ca="1">TblConstr[[#This Row],[Cavern]]</f>
        <v>0</v>
      </c>
      <c r="J69" s="240">
        <f ca="1">TblConstr[[#This Row],[Water]]</f>
        <v>0</v>
      </c>
      <c r="K69" s="275"/>
      <c r="L69" s="494">
        <v>18</v>
      </c>
      <c r="M69" s="495">
        <f t="shared" si="0"/>
        <v>2895</v>
      </c>
      <c r="N69" s="283">
        <f ca="1">TblMili[[#This Row],[Smithies]]</f>
        <v>0.18</v>
      </c>
      <c r="O69" s="283">
        <f ca="1">TblPop[[#This Row],[Employment]]</f>
        <v>1</v>
      </c>
      <c r="P69" s="283">
        <f ca="1">TblImps[[#This Row],[Population]]</f>
        <v>1</v>
      </c>
      <c r="Q69" s="228">
        <f ca="1">TblExplore[[#This Row],[Land]]</f>
        <v>600</v>
      </c>
      <c r="R69" s="228">
        <f>TblExplore[[#This Row],[Hour]]</f>
        <v>66</v>
      </c>
      <c r="S69" s="284"/>
      <c r="T69" s="232"/>
      <c r="U69" s="232"/>
      <c r="V69" s="232"/>
      <c r="W69" s="232"/>
      <c r="X69" s="232"/>
      <c r="Y69" s="232"/>
      <c r="Z69" s="232"/>
      <c r="AA69" s="205">
        <f ca="1">TblImps[[#This Row],[Real time]]</f>
        <v>44407.458333333176</v>
      </c>
      <c r="AB69" s="113">
        <f ca="1">TblMili[[#This Row],[Draftees]]</f>
        <v>166</v>
      </c>
      <c r="AC69" s="113">
        <f ca="1">TblProd[[#This Row],[Platinum]]</f>
        <v>76587</v>
      </c>
      <c r="AD69" s="281"/>
      <c r="AE69" s="49">
        <f ca="1">TblExplore[[#This Row],[Land]]-TblExplore[[#This Row],[Land Bonus]]*20</f>
        <v>600</v>
      </c>
      <c r="AF69" s="113">
        <f ca="1">ROUND(IF(TblExplore[[#This Row],[Land-DB]] &gt;= 300, 1000 + 3*((TblExplore[[#This Row],[Land-DB]]-300)^(MAX(MIN(TblExplore[[#This Row],[Land-DB]]^0.0185/1.05,1.121),1.09))), 1000 - (3 * (300-TblExplore[[#This Row],[Land-DB]])))*(1+ tech_2_6*Techs!AC69 + tech_2_9*Techs!AF69 + tech_3_7*Techs!AN69 + Overview!$I$32),0)</f>
        <v>2504</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27</v>
      </c>
    </row>
    <row r="70" spans="1:37" s="49" customFormat="1" x14ac:dyDescent="0.2">
      <c r="A70" s="228">
        <f>TblRezone[[#This Row],[Hour]]</f>
        <v>67</v>
      </c>
      <c r="B70" s="280">
        <f ca="1">TblConstr[[#This Row],[Land]]</f>
        <v>600</v>
      </c>
      <c r="C70" s="281"/>
      <c r="D70" s="282">
        <f ca="1">TblConstr[[#This Row],[Plain]]</f>
        <v>0</v>
      </c>
      <c r="E70" s="236">
        <f ca="1">TblConstr[[#This Row],[Forest]]</f>
        <v>0</v>
      </c>
      <c r="F70" s="478">
        <f ca="1">TblConstr[[#This Row],[Mountain]]</f>
        <v>0</v>
      </c>
      <c r="G70" s="482">
        <f ca="1">TblConstr[[#This Row],[Hill]]</f>
        <v>0</v>
      </c>
      <c r="H70" s="486">
        <f ca="1">TblConstr[[#This Row],[Swamp]]</f>
        <v>0</v>
      </c>
      <c r="I70" s="239">
        <f ca="1">TblConstr[[#This Row],[Cavern]]</f>
        <v>0</v>
      </c>
      <c r="J70" s="240">
        <f ca="1">TblConstr[[#This Row],[Water]]</f>
        <v>0</v>
      </c>
      <c r="K70" s="275"/>
      <c r="L70" s="275"/>
      <c r="M70" s="275"/>
      <c r="N70" s="283">
        <f ca="1">TblMili[[#This Row],[Smithies]]</f>
        <v>0.18</v>
      </c>
      <c r="O70" s="283">
        <f ca="1">TblPop[[#This Row],[Employment]]</f>
        <v>1</v>
      </c>
      <c r="P70" s="283">
        <f ca="1">TblImps[[#This Row],[Population]]</f>
        <v>1</v>
      </c>
      <c r="Q70" s="228">
        <f ca="1">TblExplore[[#This Row],[Land]]</f>
        <v>600</v>
      </c>
      <c r="R70" s="228">
        <f>TblExplore[[#This Row],[Hour]]</f>
        <v>67</v>
      </c>
      <c r="S70" s="284"/>
      <c r="T70" s="232"/>
      <c r="U70" s="232"/>
      <c r="V70" s="232"/>
      <c r="W70" s="232"/>
      <c r="X70" s="232"/>
      <c r="Y70" s="232"/>
      <c r="Z70" s="232"/>
      <c r="AA70" s="205">
        <f ca="1">TblImps[[#This Row],[Real time]]</f>
        <v>44407.49999999984</v>
      </c>
      <c r="AB70" s="113">
        <f ca="1">TblMili[[#This Row],[Draftees]]</f>
        <v>245</v>
      </c>
      <c r="AC70" s="113">
        <f ca="1">TblProd[[#This Row],[Platinum]]</f>
        <v>113180</v>
      </c>
      <c r="AD70" s="281"/>
      <c r="AE70" s="49">
        <f ca="1">TblExplore[[#This Row],[Land]]-TblExplore[[#This Row],[Land Bonus]]*20</f>
        <v>600</v>
      </c>
      <c r="AF70" s="113">
        <f ca="1">ROUND(IF(TblExplore[[#This Row],[Land-DB]] &gt;= 300, 1000 + 3*((TblExplore[[#This Row],[Land-DB]]-300)^(MAX(MIN(TblExplore[[#This Row],[Land-DB]]^0.0185/1.05,1.121),1.09))), 1000 - (3 * (300-TblExplore[[#This Row],[Land-DB]])))*(1+ tech_2_6*Techs!AC70 + tech_2_9*Techs!AF70 + tech_3_7*Techs!AN70 + Overview!$I$32),0)</f>
        <v>2504</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40</v>
      </c>
    </row>
    <row r="71" spans="1:37" s="49" customFormat="1" x14ac:dyDescent="0.2">
      <c r="A71" s="228">
        <f>TblRezone[[#This Row],[Hour]]</f>
        <v>68</v>
      </c>
      <c r="B71" s="280">
        <f ca="1">TblConstr[[#This Row],[Land]]</f>
        <v>600</v>
      </c>
      <c r="C71" s="281"/>
      <c r="D71" s="282">
        <f ca="1">TblConstr[[#This Row],[Plain]]</f>
        <v>0</v>
      </c>
      <c r="E71" s="236">
        <f ca="1">TblConstr[[#This Row],[Forest]]</f>
        <v>0</v>
      </c>
      <c r="F71" s="478">
        <f ca="1">TblConstr[[#This Row],[Mountain]]</f>
        <v>0</v>
      </c>
      <c r="G71" s="482">
        <f ca="1">TblConstr[[#This Row],[Hill]]</f>
        <v>0</v>
      </c>
      <c r="H71" s="486">
        <f ca="1">TblConstr[[#This Row],[Swamp]]</f>
        <v>0</v>
      </c>
      <c r="I71" s="239">
        <f ca="1">TblConstr[[#This Row],[Cavern]]</f>
        <v>0</v>
      </c>
      <c r="J71" s="240">
        <f ca="1">TblConstr[[#This Row],[Water]]</f>
        <v>0</v>
      </c>
      <c r="K71" s="275"/>
      <c r="L71" s="275"/>
      <c r="M71" s="275"/>
      <c r="N71" s="283">
        <f ca="1">TblMili[[#This Row],[Smithies]]</f>
        <v>0.18</v>
      </c>
      <c r="O71" s="283">
        <f ca="1">TblPop[[#This Row],[Employment]]</f>
        <v>1</v>
      </c>
      <c r="P71" s="283">
        <f ca="1">TblImps[[#This Row],[Population]]</f>
        <v>1</v>
      </c>
      <c r="Q71" s="228">
        <f ca="1">TblExplore[[#This Row],[Land]]</f>
        <v>600</v>
      </c>
      <c r="R71" s="228">
        <f>TblExplore[[#This Row],[Hour]]</f>
        <v>68</v>
      </c>
      <c r="S71" s="284"/>
      <c r="T71" s="232"/>
      <c r="U71" s="232"/>
      <c r="V71" s="232"/>
      <c r="W71" s="232"/>
      <c r="X71" s="232"/>
      <c r="Y71" s="232"/>
      <c r="Z71" s="232"/>
      <c r="AA71" s="205">
        <f ca="1">TblImps[[#This Row],[Real time]]</f>
        <v>44407.541666666504</v>
      </c>
      <c r="AB71" s="113">
        <f ca="1">TblMili[[#This Row],[Draftees]]</f>
        <v>323</v>
      </c>
      <c r="AC71" s="113">
        <f ca="1">TblProd[[#This Row],[Platinum]]</f>
        <v>149538</v>
      </c>
      <c r="AD71" s="281"/>
      <c r="AE71" s="49">
        <f ca="1">TblExplore[[#This Row],[Land]]-TblExplore[[#This Row],[Land Bonus]]*20</f>
        <v>600</v>
      </c>
      <c r="AF71" s="113">
        <f ca="1">ROUND(IF(TblExplore[[#This Row],[Land-DB]] &gt;= 300, 1000 + 3*((TblExplore[[#This Row],[Land-DB]]-300)^(MAX(MIN(TblExplore[[#This Row],[Land-DB]]^0.0185/1.05,1.121),1.09))), 1000 - (3 * (300-TblExplore[[#This Row],[Land-DB]])))*(1+ tech_2_6*Techs!AC71 + tech_2_9*Techs!AF71 + tech_3_7*Techs!AN71 + Overview!$I$32),0)</f>
        <v>2504</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53</v>
      </c>
    </row>
    <row r="72" spans="1:37" s="49" customFormat="1" x14ac:dyDescent="0.2">
      <c r="A72" s="228">
        <f>TblRezone[[#This Row],[Hour]]</f>
        <v>69</v>
      </c>
      <c r="B72" s="280">
        <f ca="1">TblConstr[[#This Row],[Land]]</f>
        <v>600</v>
      </c>
      <c r="C72" s="281"/>
      <c r="D72" s="282">
        <f ca="1">TblConstr[[#This Row],[Plain]]</f>
        <v>0</v>
      </c>
      <c r="E72" s="236">
        <f ca="1">TblConstr[[#This Row],[Forest]]</f>
        <v>0</v>
      </c>
      <c r="F72" s="478">
        <f ca="1">TblConstr[[#This Row],[Mountain]]</f>
        <v>0</v>
      </c>
      <c r="G72" s="482">
        <f ca="1">TblConstr[[#This Row],[Hill]]</f>
        <v>0</v>
      </c>
      <c r="H72" s="486">
        <f ca="1">TblConstr[[#This Row],[Swamp]]</f>
        <v>0</v>
      </c>
      <c r="I72" s="239">
        <f ca="1">TblConstr[[#This Row],[Cavern]]</f>
        <v>0</v>
      </c>
      <c r="J72" s="240">
        <f ca="1">TblConstr[[#This Row],[Water]]</f>
        <v>0</v>
      </c>
      <c r="K72" s="275"/>
      <c r="L72" s="275"/>
      <c r="M72" s="275"/>
      <c r="N72" s="283">
        <f ca="1">TblMili[[#This Row],[Smithies]]</f>
        <v>0.18</v>
      </c>
      <c r="O72" s="283">
        <f ca="1">TblPop[[#This Row],[Employment]]</f>
        <v>1</v>
      </c>
      <c r="P72" s="283">
        <f ca="1">TblImps[[#This Row],[Population]]</f>
        <v>1</v>
      </c>
      <c r="Q72" s="228">
        <f ca="1">TblExplore[[#This Row],[Land]]</f>
        <v>600</v>
      </c>
      <c r="R72" s="228">
        <f>TblExplore[[#This Row],[Hour]]</f>
        <v>69</v>
      </c>
      <c r="S72" s="284"/>
      <c r="T72" s="232"/>
      <c r="U72" s="232"/>
      <c r="V72" s="232"/>
      <c r="W72" s="232"/>
      <c r="X72" s="232"/>
      <c r="Y72" s="232"/>
      <c r="Z72" s="232"/>
      <c r="AA72" s="205">
        <f ca="1">TblImps[[#This Row],[Real time]]</f>
        <v>44407.583333333168</v>
      </c>
      <c r="AB72" s="113">
        <f ca="1">TblMili[[#This Row],[Draftees]]</f>
        <v>401</v>
      </c>
      <c r="AC72" s="113">
        <f ca="1">TblProd[[#This Row],[Platinum]]</f>
        <v>185665</v>
      </c>
      <c r="AD72" s="281"/>
      <c r="AE72" s="49">
        <f ca="1">TblExplore[[#This Row],[Land]]-TblExplore[[#This Row],[Land Bonus]]*20</f>
        <v>600</v>
      </c>
      <c r="AF72" s="113">
        <f ca="1">ROUND(IF(TblExplore[[#This Row],[Land-DB]] &gt;= 300, 1000 + 3*((TblExplore[[#This Row],[Land-DB]]-300)^(MAX(MIN(TblExplore[[#This Row],[Land-DB]]^0.0185/1.05,1.121),1.09))), 1000 - (3 * (300-TblExplore[[#This Row],[Land-DB]])))*(1+ tech_2_6*Techs!AC72 + tech_2_9*Techs!AF72 + tech_3_7*Techs!AN72 + Overview!$I$32),0)</f>
        <v>2504</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66</v>
      </c>
    </row>
    <row r="73" spans="1:37" s="49" customFormat="1" x14ac:dyDescent="0.2">
      <c r="A73" s="228">
        <f>TblRezone[[#This Row],[Hour]]</f>
        <v>70</v>
      </c>
      <c r="B73" s="280">
        <f ca="1">TblConstr[[#This Row],[Land]]</f>
        <v>600</v>
      </c>
      <c r="C73" s="281"/>
      <c r="D73" s="282">
        <f ca="1">TblConstr[[#This Row],[Plain]]</f>
        <v>0</v>
      </c>
      <c r="E73" s="236">
        <f ca="1">TblConstr[[#This Row],[Forest]]</f>
        <v>0</v>
      </c>
      <c r="F73" s="478">
        <f ca="1">TblConstr[[#This Row],[Mountain]]</f>
        <v>0</v>
      </c>
      <c r="G73" s="482">
        <f ca="1">TblConstr[[#This Row],[Hill]]</f>
        <v>0</v>
      </c>
      <c r="H73" s="486">
        <f ca="1">TblConstr[[#This Row],[Swamp]]</f>
        <v>0</v>
      </c>
      <c r="I73" s="239">
        <f ca="1">TblConstr[[#This Row],[Cavern]]</f>
        <v>0</v>
      </c>
      <c r="J73" s="240">
        <f ca="1">TblConstr[[#This Row],[Water]]</f>
        <v>0</v>
      </c>
      <c r="K73" s="275"/>
      <c r="L73" s="275"/>
      <c r="M73" s="275"/>
      <c r="N73" s="283">
        <f ca="1">TblMili[[#This Row],[Smithies]]</f>
        <v>0.18</v>
      </c>
      <c r="O73" s="283">
        <f ca="1">TblPop[[#This Row],[Employment]]</f>
        <v>1</v>
      </c>
      <c r="P73" s="283">
        <f ca="1">TblImps[[#This Row],[Population]]</f>
        <v>1</v>
      </c>
      <c r="Q73" s="228">
        <f ca="1">TblExplore[[#This Row],[Land]]</f>
        <v>600</v>
      </c>
      <c r="R73" s="228">
        <f>TblExplore[[#This Row],[Hour]]</f>
        <v>70</v>
      </c>
      <c r="S73" s="284"/>
      <c r="T73" s="232"/>
      <c r="U73" s="232"/>
      <c r="V73" s="232"/>
      <c r="W73" s="232"/>
      <c r="X73" s="232"/>
      <c r="Y73" s="232"/>
      <c r="Z73" s="232"/>
      <c r="AA73" s="205">
        <f ca="1">TblImps[[#This Row],[Real time]]</f>
        <v>44407.624999999833</v>
      </c>
      <c r="AB73" s="113">
        <f ca="1">TblMili[[#This Row],[Draftees]]</f>
        <v>478</v>
      </c>
      <c r="AC73" s="113">
        <f ca="1">TblProd[[#This Row],[Platinum]]</f>
        <v>221560</v>
      </c>
      <c r="AD73" s="281"/>
      <c r="AE73" s="49">
        <f ca="1">TblExplore[[#This Row],[Land]]-TblExplore[[#This Row],[Land Bonus]]*20</f>
        <v>600</v>
      </c>
      <c r="AF73" s="113">
        <f ca="1">ROUND(IF(TblExplore[[#This Row],[Land-DB]] &gt;= 300, 1000 + 3*((TblExplore[[#This Row],[Land-DB]]-300)^(MAX(MIN(TblExplore[[#This Row],[Land-DB]]^0.0185/1.05,1.121),1.09))), 1000 - (3 * (300-TblExplore[[#This Row],[Land-DB]])))*(1+ tech_2_6*Techs!AC73 + tech_2_9*Techs!AF73 + tech_3_7*Techs!AN73 + Overview!$I$32),0)</f>
        <v>2504</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79</v>
      </c>
    </row>
    <row r="74" spans="1:37" s="49" customFormat="1" x14ac:dyDescent="0.2">
      <c r="A74" s="228">
        <f>TblRezone[[#This Row],[Hour]]</f>
        <v>71</v>
      </c>
      <c r="B74" s="280">
        <f ca="1">TblConstr[[#This Row],[Land]]</f>
        <v>600</v>
      </c>
      <c r="C74" s="281"/>
      <c r="D74" s="282">
        <f ca="1">TblConstr[[#This Row],[Plain]]</f>
        <v>0</v>
      </c>
      <c r="E74" s="236">
        <f ca="1">TblConstr[[#This Row],[Forest]]</f>
        <v>0</v>
      </c>
      <c r="F74" s="478">
        <f ca="1">TblConstr[[#This Row],[Mountain]]</f>
        <v>0</v>
      </c>
      <c r="G74" s="482">
        <f ca="1">TblConstr[[#This Row],[Hill]]</f>
        <v>0</v>
      </c>
      <c r="H74" s="486">
        <f ca="1">TblConstr[[#This Row],[Swamp]]</f>
        <v>0</v>
      </c>
      <c r="I74" s="239">
        <f ca="1">TblConstr[[#This Row],[Cavern]]</f>
        <v>0</v>
      </c>
      <c r="J74" s="240">
        <f ca="1">TblConstr[[#This Row],[Water]]</f>
        <v>0</v>
      </c>
      <c r="K74" s="275"/>
      <c r="L74" s="275"/>
      <c r="M74" s="275"/>
      <c r="N74" s="283">
        <f ca="1">TblMili[[#This Row],[Smithies]]</f>
        <v>0.18</v>
      </c>
      <c r="O74" s="283">
        <f ca="1">TblPop[[#This Row],[Employment]]</f>
        <v>1</v>
      </c>
      <c r="P74" s="283">
        <f ca="1">TblImps[[#This Row],[Population]]</f>
        <v>1</v>
      </c>
      <c r="Q74" s="228">
        <f ca="1">TblExplore[[#This Row],[Land]]</f>
        <v>600</v>
      </c>
      <c r="R74" s="228">
        <f>TblExplore[[#This Row],[Hour]]</f>
        <v>71</v>
      </c>
      <c r="S74" s="284"/>
      <c r="T74" s="232"/>
      <c r="U74" s="232"/>
      <c r="V74" s="232"/>
      <c r="W74" s="232"/>
      <c r="X74" s="232"/>
      <c r="Y74" s="232"/>
      <c r="Z74" s="232"/>
      <c r="AA74" s="205">
        <f ca="1">TblImps[[#This Row],[Real time]]</f>
        <v>44407.666666666497</v>
      </c>
      <c r="AB74" s="113">
        <f ca="1">TblMili[[#This Row],[Draftees]]</f>
        <v>554</v>
      </c>
      <c r="AC74" s="113">
        <f ca="1">TblProd[[#This Row],[Platinum]]</f>
        <v>257226</v>
      </c>
      <c r="AD74" s="281"/>
      <c r="AE74" s="49">
        <f ca="1">TblExplore[[#This Row],[Land]]-TblExplore[[#This Row],[Land Bonus]]*20</f>
        <v>600</v>
      </c>
      <c r="AF74" s="113">
        <f ca="1">ROUND(IF(TblExplore[[#This Row],[Land-DB]] &gt;= 300, 1000 + 3*((TblExplore[[#This Row],[Land-DB]]-300)^(MAX(MIN(TblExplore[[#This Row],[Land-DB]]^0.0185/1.05,1.121),1.09))), 1000 - (3 * (300-TblExplore[[#This Row],[Land-DB]])))*(1+ tech_2_6*Techs!AC74 + tech_2_9*Techs!AF74 + tech_3_7*Techs!AN74 + Overview!$I$32),0)</f>
        <v>2504</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92</v>
      </c>
    </row>
    <row r="75" spans="1:37" s="49" customFormat="1" x14ac:dyDescent="0.2">
      <c r="A75" s="228">
        <f>TblRezone[[#This Row],[Hour]]</f>
        <v>72</v>
      </c>
      <c r="B75" s="280">
        <f ca="1">TblConstr[[#This Row],[Land]]</f>
        <v>600</v>
      </c>
      <c r="C75" s="281"/>
      <c r="D75" s="282">
        <f ca="1">TblConstr[[#This Row],[Plain]]</f>
        <v>0</v>
      </c>
      <c r="E75" s="236">
        <f ca="1">TblConstr[[#This Row],[Forest]]</f>
        <v>0</v>
      </c>
      <c r="F75" s="478">
        <f ca="1">TblConstr[[#This Row],[Mountain]]</f>
        <v>0</v>
      </c>
      <c r="G75" s="482">
        <f ca="1">TblConstr[[#This Row],[Hill]]</f>
        <v>0</v>
      </c>
      <c r="H75" s="486">
        <f ca="1">TblConstr[[#This Row],[Swamp]]</f>
        <v>0</v>
      </c>
      <c r="I75" s="239">
        <f ca="1">TblConstr[[#This Row],[Cavern]]</f>
        <v>0</v>
      </c>
      <c r="J75" s="240">
        <f ca="1">TblConstr[[#This Row],[Water]]</f>
        <v>0</v>
      </c>
      <c r="K75" s="275"/>
      <c r="L75" s="275"/>
      <c r="M75" s="275"/>
      <c r="N75" s="283">
        <f ca="1">TblMili[[#This Row],[Smithies]]</f>
        <v>0.18</v>
      </c>
      <c r="O75" s="283">
        <f ca="1">TblPop[[#This Row],[Employment]]</f>
        <v>1</v>
      </c>
      <c r="P75" s="283">
        <f ca="1">TblImps[[#This Row],[Population]]</f>
        <v>1</v>
      </c>
      <c r="Q75" s="228">
        <f ca="1">TblExplore[[#This Row],[Land]]</f>
        <v>600</v>
      </c>
      <c r="R75" s="228">
        <f>TblExplore[[#This Row],[Hour]]</f>
        <v>72</v>
      </c>
      <c r="S75" s="284"/>
      <c r="T75" s="232"/>
      <c r="U75" s="232"/>
      <c r="V75" s="232"/>
      <c r="W75" s="232"/>
      <c r="X75" s="232"/>
      <c r="Y75" s="232"/>
      <c r="Z75" s="232"/>
      <c r="AA75" s="205">
        <f ca="1">TblImps[[#This Row],[Real time]]</f>
        <v>44407.708333333161</v>
      </c>
      <c r="AB75" s="113">
        <f ca="1">TblMili[[#This Row],[Draftees]]</f>
        <v>629</v>
      </c>
      <c r="AC75" s="113">
        <f ca="1">TblProd[[#This Row],[Platinum]]</f>
        <v>292667</v>
      </c>
      <c r="AD75" s="281"/>
      <c r="AE75" s="49">
        <f ca="1">TblExplore[[#This Row],[Land]]-TblExplore[[#This Row],[Land Bonus]]*20</f>
        <v>600</v>
      </c>
      <c r="AF75" s="113">
        <f ca="1">ROUND(IF(TblExplore[[#This Row],[Land-DB]] &gt;= 300, 1000 + 3*((TblExplore[[#This Row],[Land-DB]]-300)^(MAX(MIN(TblExplore[[#This Row],[Land-DB]]^0.0185/1.05,1.121),1.09))), 1000 - (3 * (300-TblExplore[[#This Row],[Land-DB]])))*(1+ tech_2_6*Techs!AC75 + tech_2_9*Techs!AF75 + tech_3_7*Techs!AN75 + Overview!$I$32),0)</f>
        <v>2504</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104</v>
      </c>
    </row>
    <row r="76" spans="1:37" s="263" customFormat="1" x14ac:dyDescent="0.2">
      <c r="A76" s="248">
        <f>TblRezone[[#This Row],[Hour]]</f>
        <v>73</v>
      </c>
      <c r="B76" s="297">
        <f ca="1">TblConstr[[#This Row],[Land]]</f>
        <v>600</v>
      </c>
      <c r="C76" s="298"/>
      <c r="D76" s="299">
        <f ca="1">TblConstr[[#This Row],[Plain]]</f>
        <v>0</v>
      </c>
      <c r="E76" s="254">
        <f ca="1">TblConstr[[#This Row],[Forest]]</f>
        <v>0</v>
      </c>
      <c r="F76" s="479">
        <f ca="1">TblConstr[[#This Row],[Mountain]]</f>
        <v>0</v>
      </c>
      <c r="G76" s="483">
        <f ca="1">TblConstr[[#This Row],[Hill]]</f>
        <v>0</v>
      </c>
      <c r="H76" s="487">
        <f ca="1">TblConstr[[#This Row],[Swamp]]</f>
        <v>0</v>
      </c>
      <c r="I76" s="257">
        <f ca="1">TblConstr[[#This Row],[Cavern]]</f>
        <v>0</v>
      </c>
      <c r="J76" s="258">
        <f ca="1">TblConstr[[#This Row],[Water]]</f>
        <v>0</v>
      </c>
      <c r="K76" s="273"/>
      <c r="L76" s="273"/>
      <c r="M76" s="273"/>
      <c r="N76" s="300">
        <f ca="1">TblMili[[#This Row],[Smithies]]</f>
        <v>0.18</v>
      </c>
      <c r="O76" s="300">
        <f ca="1">TblPop[[#This Row],[Employment]]</f>
        <v>1</v>
      </c>
      <c r="P76" s="300">
        <f ca="1">TblImps[[#This Row],[Population]]</f>
        <v>1</v>
      </c>
      <c r="Q76" s="248">
        <f ca="1">TblExplore[[#This Row],[Land]]</f>
        <v>600</v>
      </c>
      <c r="R76" s="228">
        <f>TblExplore[[#This Row],[Hour]]</f>
        <v>73</v>
      </c>
      <c r="S76" s="301"/>
      <c r="T76" s="259"/>
      <c r="U76" s="259"/>
      <c r="V76" s="259"/>
      <c r="W76" s="259"/>
      <c r="X76" s="259"/>
      <c r="Y76" s="259"/>
      <c r="Z76" s="259"/>
      <c r="AA76" s="269">
        <f ca="1">TblImps[[#This Row],[Real time]]</f>
        <v>44407.749999999825</v>
      </c>
      <c r="AB76" s="262">
        <f ca="1">TblMili[[#This Row],[Draftees]]</f>
        <v>704</v>
      </c>
      <c r="AC76" s="262">
        <f ca="1">TblProd[[#This Row],[Platinum]]</f>
        <v>327885</v>
      </c>
      <c r="AD76" s="298"/>
      <c r="AE76" s="263">
        <f ca="1">TblExplore[[#This Row],[Land]]-TblExplore[[#This Row],[Land Bonus]]*20</f>
        <v>600</v>
      </c>
      <c r="AF76" s="262">
        <f ca="1">ROUND(IF(TblExplore[[#This Row],[Land-DB]] &gt;= 300, 1000 + 3*((TblExplore[[#This Row],[Land-DB]]-300)^(MAX(MIN(TblExplore[[#This Row],[Land-DB]]^0.0185/1.05,1.121),1.09))), 1000 - (3 * (300-TblExplore[[#This Row],[Land-DB]])))*(1+ tech_2_6*Techs!AC76 + tech_2_9*Techs!AF76 + tech_3_7*Techs!AN76 + Overview!$I$32),0)</f>
        <v>2504</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117</v>
      </c>
      <c r="AK76" s="303"/>
    </row>
    <row r="77" spans="1:37" s="49" customFormat="1" x14ac:dyDescent="0.2">
      <c r="A77" s="228">
        <f>TblRezone[[#This Row],[Hour]]</f>
        <v>74</v>
      </c>
      <c r="B77" s="280">
        <f ca="1">TblConstr[[#This Row],[Land]]</f>
        <v>600</v>
      </c>
      <c r="C77" s="281"/>
      <c r="D77" s="282">
        <f ca="1">TblConstr[[#This Row],[Plain]]</f>
        <v>0</v>
      </c>
      <c r="E77" s="236">
        <f ca="1">TblConstr[[#This Row],[Forest]]</f>
        <v>0</v>
      </c>
      <c r="F77" s="478">
        <f ca="1">TblConstr[[#This Row],[Mountain]]</f>
        <v>0</v>
      </c>
      <c r="G77" s="482">
        <f ca="1">TblConstr[[#This Row],[Hill]]</f>
        <v>0</v>
      </c>
      <c r="H77" s="486">
        <f ca="1">TblConstr[[#This Row],[Swamp]]</f>
        <v>0</v>
      </c>
      <c r="I77" s="239">
        <f ca="1">TblConstr[[#This Row],[Cavern]]</f>
        <v>0</v>
      </c>
      <c r="J77" s="240">
        <f ca="1">TblConstr[[#This Row],[Water]]</f>
        <v>0</v>
      </c>
      <c r="K77" s="275"/>
      <c r="L77" s="275"/>
      <c r="M77" s="275"/>
      <c r="N77" s="283">
        <f ca="1">TblMili[[#This Row],[Smithies]]</f>
        <v>0.18</v>
      </c>
      <c r="O77" s="283">
        <f ca="1">TblPop[[#This Row],[Employment]]</f>
        <v>1</v>
      </c>
      <c r="P77" s="283">
        <f ca="1">TblImps[[#This Row],[Population]]</f>
        <v>1</v>
      </c>
      <c r="Q77" s="228">
        <f ca="1">TblExplore[[#This Row],[Land]]</f>
        <v>600</v>
      </c>
      <c r="R77" s="228">
        <f>TblExplore[[#This Row],[Hour]]</f>
        <v>74</v>
      </c>
      <c r="S77" s="284"/>
      <c r="T77" s="232"/>
      <c r="U77" s="232"/>
      <c r="V77" s="232"/>
      <c r="W77" s="232"/>
      <c r="X77" s="232"/>
      <c r="Y77" s="232"/>
      <c r="Z77" s="232"/>
      <c r="AA77" s="205">
        <f ca="1">TblImps[[#This Row],[Real time]]</f>
        <v>44407.79166666649</v>
      </c>
      <c r="AB77" s="113">
        <f ca="1">TblMili[[#This Row],[Draftees]]</f>
        <v>778</v>
      </c>
      <c r="AC77" s="113">
        <f ca="1">TblProd[[#This Row],[Platinum]]</f>
        <v>362880</v>
      </c>
      <c r="AD77" s="281"/>
      <c r="AE77" s="49">
        <f ca="1">TblExplore[[#This Row],[Land]]-TblExplore[[#This Row],[Land Bonus]]*20</f>
        <v>600</v>
      </c>
      <c r="AF77" s="113">
        <f ca="1">ROUND(IF(TblExplore[[#This Row],[Land-DB]] &gt;= 300, 1000 + 3*((TblExplore[[#This Row],[Land-DB]]-300)^(MAX(MIN(TblExplore[[#This Row],[Land-DB]]^0.0185/1.05,1.121),1.09))), 1000 - (3 * (300-TblExplore[[#This Row],[Land-DB]])))*(1+ tech_2_6*Techs!AC77 + tech_2_9*Techs!AF77 + tech_3_7*Techs!AN77 + Overview!$I$32),0)</f>
        <v>2504</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129</v>
      </c>
    </row>
    <row r="78" spans="1:37" s="49" customFormat="1" x14ac:dyDescent="0.2">
      <c r="A78" s="228">
        <f>TblRezone[[#This Row],[Hour]]</f>
        <v>75</v>
      </c>
      <c r="B78" s="280">
        <f ca="1">TblConstr[[#This Row],[Land]]</f>
        <v>600</v>
      </c>
      <c r="C78" s="281"/>
      <c r="D78" s="282">
        <f ca="1">TblConstr[[#This Row],[Plain]]</f>
        <v>0</v>
      </c>
      <c r="E78" s="236">
        <f ca="1">TblConstr[[#This Row],[Forest]]</f>
        <v>0</v>
      </c>
      <c r="F78" s="478">
        <f ca="1">TblConstr[[#This Row],[Mountain]]</f>
        <v>0</v>
      </c>
      <c r="G78" s="482">
        <f ca="1">TblConstr[[#This Row],[Hill]]</f>
        <v>0</v>
      </c>
      <c r="H78" s="486">
        <f ca="1">TblConstr[[#This Row],[Swamp]]</f>
        <v>0</v>
      </c>
      <c r="I78" s="239">
        <f ca="1">TblConstr[[#This Row],[Cavern]]</f>
        <v>0</v>
      </c>
      <c r="J78" s="240">
        <f ca="1">TblConstr[[#This Row],[Water]]</f>
        <v>0</v>
      </c>
      <c r="K78" s="275"/>
      <c r="L78" s="275"/>
      <c r="M78" s="275"/>
      <c r="N78" s="283">
        <f ca="1">TblMili[[#This Row],[Smithies]]</f>
        <v>0.18</v>
      </c>
      <c r="O78" s="283">
        <f ca="1">TblPop[[#This Row],[Employment]]</f>
        <v>1</v>
      </c>
      <c r="P78" s="283">
        <f ca="1">TblImps[[#This Row],[Population]]</f>
        <v>1</v>
      </c>
      <c r="Q78" s="228">
        <f ca="1">TblExplore[[#This Row],[Land]]</f>
        <v>600</v>
      </c>
      <c r="R78" s="228">
        <f>TblExplore[[#This Row],[Hour]]</f>
        <v>75</v>
      </c>
      <c r="S78" s="284"/>
      <c r="T78" s="232"/>
      <c r="U78" s="232"/>
      <c r="V78" s="232"/>
      <c r="W78" s="232"/>
      <c r="X78" s="232"/>
      <c r="Y78" s="232"/>
      <c r="Z78" s="232"/>
      <c r="AA78" s="205">
        <f ca="1">TblImps[[#This Row],[Real time]]</f>
        <v>44407.833333333154</v>
      </c>
      <c r="AB78" s="113">
        <f ca="1">TblMili[[#This Row],[Draftees]]</f>
        <v>851</v>
      </c>
      <c r="AC78" s="113">
        <f ca="1">TblProd[[#This Row],[Platinum]]</f>
        <v>397655</v>
      </c>
      <c r="AD78" s="281"/>
      <c r="AE78" s="49">
        <f ca="1">TblExplore[[#This Row],[Land]]-TblExplore[[#This Row],[Land Bonus]]*20</f>
        <v>600</v>
      </c>
      <c r="AF78" s="113">
        <f ca="1">ROUND(IF(TblExplore[[#This Row],[Land-DB]] &gt;= 300, 1000 + 3*((TblExplore[[#This Row],[Land-DB]]-300)^(MAX(MIN(TblExplore[[#This Row],[Land-DB]]^0.0185/1.05,1.121),1.09))), 1000 - (3 * (300-TblExplore[[#This Row],[Land-DB]])))*(1+ tech_2_6*Techs!AC78 + tech_2_9*Techs!AF78 + tech_3_7*Techs!AN78 + Overview!$I$32),0)</f>
        <v>2504</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141</v>
      </c>
    </row>
    <row r="79" spans="1:37" s="49" customFormat="1" x14ac:dyDescent="0.2">
      <c r="A79" s="228">
        <f>TblRezone[[#This Row],[Hour]]</f>
        <v>76</v>
      </c>
      <c r="B79" s="280">
        <f ca="1">TblConstr[[#This Row],[Land]]</f>
        <v>600</v>
      </c>
      <c r="C79" s="281"/>
      <c r="D79" s="282">
        <f ca="1">TblConstr[[#This Row],[Plain]]</f>
        <v>0</v>
      </c>
      <c r="E79" s="236">
        <f ca="1">TblConstr[[#This Row],[Forest]]</f>
        <v>0</v>
      </c>
      <c r="F79" s="478">
        <f ca="1">TblConstr[[#This Row],[Mountain]]</f>
        <v>0</v>
      </c>
      <c r="G79" s="482">
        <f ca="1">TblConstr[[#This Row],[Hill]]</f>
        <v>0</v>
      </c>
      <c r="H79" s="486">
        <f ca="1">TblConstr[[#This Row],[Swamp]]</f>
        <v>0</v>
      </c>
      <c r="I79" s="239">
        <f ca="1">TblConstr[[#This Row],[Cavern]]</f>
        <v>0</v>
      </c>
      <c r="J79" s="240">
        <f ca="1">TblConstr[[#This Row],[Water]]</f>
        <v>0</v>
      </c>
      <c r="K79" s="275"/>
      <c r="L79" s="275"/>
      <c r="M79" s="275"/>
      <c r="N79" s="283">
        <f ca="1">TblMili[[#This Row],[Smithies]]</f>
        <v>0.18</v>
      </c>
      <c r="O79" s="283">
        <f ca="1">TblPop[[#This Row],[Employment]]</f>
        <v>1</v>
      </c>
      <c r="P79" s="283">
        <f ca="1">TblImps[[#This Row],[Population]]</f>
        <v>1</v>
      </c>
      <c r="Q79" s="228">
        <f ca="1">TblExplore[[#This Row],[Land]]</f>
        <v>600</v>
      </c>
      <c r="R79" s="228">
        <f>TblExplore[[#This Row],[Hour]]</f>
        <v>76</v>
      </c>
      <c r="S79" s="284"/>
      <c r="T79" s="204"/>
      <c r="U79" s="232"/>
      <c r="V79" s="232"/>
      <c r="W79" s="232"/>
      <c r="X79" s="232"/>
      <c r="Y79" s="232"/>
      <c r="Z79" s="232"/>
      <c r="AA79" s="205">
        <f ca="1">TblImps[[#This Row],[Real time]]</f>
        <v>44407.874999999818</v>
      </c>
      <c r="AB79" s="113">
        <f ca="1">TblMili[[#This Row],[Draftees]]</f>
        <v>923</v>
      </c>
      <c r="AC79" s="113">
        <f ca="1">TblProd[[#This Row],[Platinum]]</f>
        <v>432213</v>
      </c>
      <c r="AD79" s="281"/>
      <c r="AE79" s="49">
        <f ca="1">TblExplore[[#This Row],[Land]]-TblExplore[[#This Row],[Land Bonus]]*20</f>
        <v>600</v>
      </c>
      <c r="AF79" s="113">
        <f ca="1">ROUND(IF(TblExplore[[#This Row],[Land-DB]] &gt;= 300, 1000 + 3*((TblExplore[[#This Row],[Land-DB]]-300)^(MAX(MIN(TblExplore[[#This Row],[Land-DB]]^0.0185/1.05,1.121),1.09))), 1000 - (3 * (300-TblExplore[[#This Row],[Land-DB]])))*(1+ tech_2_6*Techs!AC79 + tech_2_9*Techs!AF79 + tech_3_7*Techs!AN79 + Overview!$I$32),0)</f>
        <v>2504</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153</v>
      </c>
    </row>
    <row r="80" spans="1:37" s="49" customFormat="1" x14ac:dyDescent="0.2">
      <c r="A80" s="228">
        <f>TblRezone[[#This Row],[Hour]]</f>
        <v>77</v>
      </c>
      <c r="B80" s="280">
        <f ca="1">TblConstr[[#This Row],[Land]]</f>
        <v>600</v>
      </c>
      <c r="C80" s="281"/>
      <c r="D80" s="282">
        <f ca="1">TblConstr[[#This Row],[Plain]]</f>
        <v>0</v>
      </c>
      <c r="E80" s="236">
        <f ca="1">TblConstr[[#This Row],[Forest]]</f>
        <v>0</v>
      </c>
      <c r="F80" s="478">
        <f ca="1">TblConstr[[#This Row],[Mountain]]</f>
        <v>0</v>
      </c>
      <c r="G80" s="482">
        <f ca="1">TblConstr[[#This Row],[Hill]]</f>
        <v>0</v>
      </c>
      <c r="H80" s="486">
        <f ca="1">TblConstr[[#This Row],[Swamp]]</f>
        <v>0</v>
      </c>
      <c r="I80" s="239">
        <f ca="1">TblConstr[[#This Row],[Cavern]]</f>
        <v>0</v>
      </c>
      <c r="J80" s="240">
        <f ca="1">TblConstr[[#This Row],[Water]]</f>
        <v>0</v>
      </c>
      <c r="K80" s="275"/>
      <c r="L80" s="275"/>
      <c r="M80" s="275"/>
      <c r="N80" s="283">
        <f ca="1">TblMili[[#This Row],[Smithies]]</f>
        <v>0.18</v>
      </c>
      <c r="O80" s="283">
        <f ca="1">TblPop[[#This Row],[Employment]]</f>
        <v>1</v>
      </c>
      <c r="P80" s="283">
        <f ca="1">TblImps[[#This Row],[Population]]</f>
        <v>1</v>
      </c>
      <c r="Q80" s="228">
        <f ca="1">TblExplore[[#This Row],[Land]]</f>
        <v>600</v>
      </c>
      <c r="R80" s="228">
        <f>TblExplore[[#This Row],[Hour]]</f>
        <v>77</v>
      </c>
      <c r="S80" s="284"/>
      <c r="T80" s="204"/>
      <c r="U80" s="232"/>
      <c r="V80" s="232"/>
      <c r="W80" s="232"/>
      <c r="X80" s="232"/>
      <c r="Y80" s="232"/>
      <c r="Z80" s="232"/>
      <c r="AA80" s="205">
        <f ca="1">TblImps[[#This Row],[Real time]]</f>
        <v>44407.916666666482</v>
      </c>
      <c r="AB80" s="113">
        <f ca="1">TblMili[[#This Row],[Draftees]]</f>
        <v>995</v>
      </c>
      <c r="AC80" s="113">
        <f ca="1">TblProd[[#This Row],[Platinum]]</f>
        <v>463435</v>
      </c>
      <c r="AD80" s="281"/>
      <c r="AE80" s="49">
        <f ca="1">TblExplore[[#This Row],[Land]]-TblExplore[[#This Row],[Land Bonus]]*20</f>
        <v>600</v>
      </c>
      <c r="AF80" s="113">
        <f ca="1">ROUND(IF(TblExplore[[#This Row],[Land-DB]] &gt;= 300, 1000 + 3*((TblExplore[[#This Row],[Land-DB]]-300)^(MAX(MIN(TblExplore[[#This Row],[Land-DB]]^0.0185/1.05,1.121),1.09))), 1000 - (3 * (300-TblExplore[[#This Row],[Land-DB]])))*(1+ tech_2_6*Techs!AC80 + tech_2_9*Techs!AF80 + tech_3_7*Techs!AN80 + Overview!$I$32),0)</f>
        <v>2504</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165</v>
      </c>
    </row>
    <row r="81" spans="1:36" s="49" customFormat="1" x14ac:dyDescent="0.2">
      <c r="A81" s="228">
        <f>TblRezone[[#This Row],[Hour]]</f>
        <v>78</v>
      </c>
      <c r="B81" s="280">
        <f ca="1">TblConstr[[#This Row],[Land]]</f>
        <v>600</v>
      </c>
      <c r="C81" s="281"/>
      <c r="D81" s="282">
        <f ca="1">TblConstr[[#This Row],[Plain]]</f>
        <v>0</v>
      </c>
      <c r="E81" s="236">
        <f ca="1">TblConstr[[#This Row],[Forest]]</f>
        <v>0</v>
      </c>
      <c r="F81" s="478">
        <f ca="1">TblConstr[[#This Row],[Mountain]]</f>
        <v>0</v>
      </c>
      <c r="G81" s="482">
        <f ca="1">TblConstr[[#This Row],[Hill]]</f>
        <v>0</v>
      </c>
      <c r="H81" s="486">
        <f ca="1">TblConstr[[#This Row],[Swamp]]</f>
        <v>0</v>
      </c>
      <c r="I81" s="239">
        <f ca="1">TblConstr[[#This Row],[Cavern]]</f>
        <v>0</v>
      </c>
      <c r="J81" s="240">
        <f ca="1">TblConstr[[#This Row],[Water]]</f>
        <v>0</v>
      </c>
      <c r="K81" s="275"/>
      <c r="L81" s="275"/>
      <c r="M81" s="275"/>
      <c r="N81" s="283">
        <f ca="1">TblMili[[#This Row],[Smithies]]</f>
        <v>0.18</v>
      </c>
      <c r="O81" s="283">
        <f ca="1">TblPop[[#This Row],[Employment]]</f>
        <v>1</v>
      </c>
      <c r="P81" s="283">
        <f ca="1">TblImps[[#This Row],[Population]]</f>
        <v>1</v>
      </c>
      <c r="Q81" s="228">
        <f ca="1">TblExplore[[#This Row],[Land]]</f>
        <v>600</v>
      </c>
      <c r="R81" s="228">
        <f>TblExplore[[#This Row],[Hour]]</f>
        <v>78</v>
      </c>
      <c r="S81" s="284"/>
      <c r="T81" s="232"/>
      <c r="U81" s="232"/>
      <c r="V81" s="232"/>
      <c r="W81" s="232"/>
      <c r="X81" s="232"/>
      <c r="Y81" s="232"/>
      <c r="Z81" s="232"/>
      <c r="AA81" s="205">
        <f ca="1">TblImps[[#This Row],[Real time]]</f>
        <v>44407.958333333147</v>
      </c>
      <c r="AB81" s="113">
        <f ca="1">TblMili[[#This Row],[Draftees]]</f>
        <v>1066</v>
      </c>
      <c r="AC81" s="113">
        <f ca="1">TblProd[[#This Row],[Platinum]]</f>
        <v>494463</v>
      </c>
      <c r="AD81" s="281"/>
      <c r="AE81" s="49">
        <f ca="1">TblExplore[[#This Row],[Land]]-TblExplore[[#This Row],[Land Bonus]]*20</f>
        <v>600</v>
      </c>
      <c r="AF81" s="113">
        <f ca="1">ROUND(IF(TblExplore[[#This Row],[Land-DB]] &gt;= 300, 1000 + 3*((TblExplore[[#This Row],[Land-DB]]-300)^(MAX(MIN(TblExplore[[#This Row],[Land-DB]]^0.0185/1.05,1.121),1.09))), 1000 - (3 * (300-TblExplore[[#This Row],[Land-DB]])))*(1+ tech_2_6*Techs!AC81 + tech_2_9*Techs!AF81 + tech_3_7*Techs!AN81 + Overview!$I$32),0)</f>
        <v>2504</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177</v>
      </c>
    </row>
    <row r="82" spans="1:36" s="49" customFormat="1" x14ac:dyDescent="0.2">
      <c r="A82" s="228">
        <f>TblRezone[[#This Row],[Hour]]</f>
        <v>79</v>
      </c>
      <c r="B82" s="280">
        <f ca="1">TblConstr[[#This Row],[Land]]</f>
        <v>600</v>
      </c>
      <c r="C82" s="281"/>
      <c r="D82" s="282">
        <f ca="1">TblConstr[[#This Row],[Plain]]</f>
        <v>0</v>
      </c>
      <c r="E82" s="236">
        <f ca="1">TblConstr[[#This Row],[Forest]]</f>
        <v>0</v>
      </c>
      <c r="F82" s="478">
        <f ca="1">TblConstr[[#This Row],[Mountain]]</f>
        <v>0</v>
      </c>
      <c r="G82" s="482">
        <f ca="1">TblConstr[[#This Row],[Hill]]</f>
        <v>0</v>
      </c>
      <c r="H82" s="486">
        <f ca="1">TblConstr[[#This Row],[Swamp]]</f>
        <v>0</v>
      </c>
      <c r="I82" s="239">
        <f ca="1">TblConstr[[#This Row],[Cavern]]</f>
        <v>0</v>
      </c>
      <c r="J82" s="240">
        <f ca="1">TblConstr[[#This Row],[Water]]</f>
        <v>0</v>
      </c>
      <c r="K82" s="275"/>
      <c r="L82" s="275"/>
      <c r="M82" s="275"/>
      <c r="N82" s="283">
        <f ca="1">TblMili[[#This Row],[Smithies]]</f>
        <v>0.18</v>
      </c>
      <c r="O82" s="283">
        <f ca="1">TblPop[[#This Row],[Employment]]</f>
        <v>1</v>
      </c>
      <c r="P82" s="283">
        <f ca="1">TblImps[[#This Row],[Population]]</f>
        <v>1</v>
      </c>
      <c r="Q82" s="228">
        <f ca="1">TblExplore[[#This Row],[Land]]</f>
        <v>600</v>
      </c>
      <c r="R82" s="228">
        <f>TblExplore[[#This Row],[Hour]]</f>
        <v>79</v>
      </c>
      <c r="S82" s="284"/>
      <c r="T82" s="232"/>
      <c r="U82" s="232"/>
      <c r="V82" s="232"/>
      <c r="W82" s="232"/>
      <c r="X82" s="232"/>
      <c r="Y82" s="232"/>
      <c r="Z82" s="232"/>
      <c r="AA82" s="205">
        <f ca="1">TblImps[[#This Row],[Real time]]</f>
        <v>44407.999999999811</v>
      </c>
      <c r="AB82" s="113">
        <f ca="1">TblMili[[#This Row],[Draftees]]</f>
        <v>1136</v>
      </c>
      <c r="AC82" s="113">
        <f ca="1">TblProd[[#This Row],[Platinum]]</f>
        <v>525299</v>
      </c>
      <c r="AD82" s="281"/>
      <c r="AE82" s="49">
        <f ca="1">TblExplore[[#This Row],[Land]]-TblExplore[[#This Row],[Land Bonus]]*20</f>
        <v>600</v>
      </c>
      <c r="AF82" s="113">
        <f ca="1">ROUND(IF(TblExplore[[#This Row],[Land-DB]] &gt;= 300, 1000 + 3*((TblExplore[[#This Row],[Land-DB]]-300)^(MAX(MIN(TblExplore[[#This Row],[Land-DB]]^0.0185/1.05,1.121),1.09))), 1000 - (3 * (300-TblExplore[[#This Row],[Land-DB]])))*(1+ tech_2_6*Techs!AC82 + tech_2_9*Techs!AF82 + tech_3_7*Techs!AN82 + Overview!$I$32),0)</f>
        <v>2504</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189</v>
      </c>
    </row>
    <row r="83" spans="1:36" s="49" customFormat="1" x14ac:dyDescent="0.2">
      <c r="A83" s="228">
        <f>TblRezone[[#This Row],[Hour]]</f>
        <v>80</v>
      </c>
      <c r="B83" s="280">
        <f ca="1">TblConstr[[#This Row],[Land]]</f>
        <v>600</v>
      </c>
      <c r="C83" s="281"/>
      <c r="D83" s="282">
        <f ca="1">TblConstr[[#This Row],[Plain]]</f>
        <v>0</v>
      </c>
      <c r="E83" s="236">
        <f ca="1">TblConstr[[#This Row],[Forest]]</f>
        <v>0</v>
      </c>
      <c r="F83" s="478">
        <f ca="1">TblConstr[[#This Row],[Mountain]]</f>
        <v>0</v>
      </c>
      <c r="G83" s="482">
        <f ca="1">TblConstr[[#This Row],[Hill]]</f>
        <v>0</v>
      </c>
      <c r="H83" s="486">
        <f ca="1">TblConstr[[#This Row],[Swamp]]</f>
        <v>0</v>
      </c>
      <c r="I83" s="239">
        <f ca="1">TblConstr[[#This Row],[Cavern]]</f>
        <v>0</v>
      </c>
      <c r="J83" s="240">
        <f ca="1">TblConstr[[#This Row],[Water]]</f>
        <v>0</v>
      </c>
      <c r="K83" s="275"/>
      <c r="L83" s="275"/>
      <c r="M83" s="275"/>
      <c r="N83" s="283">
        <f ca="1">TblMili[[#This Row],[Smithies]]</f>
        <v>0.18</v>
      </c>
      <c r="O83" s="283">
        <f ca="1">TblPop[[#This Row],[Employment]]</f>
        <v>1</v>
      </c>
      <c r="P83" s="283">
        <f ca="1">TblImps[[#This Row],[Population]]</f>
        <v>1</v>
      </c>
      <c r="Q83" s="228">
        <f ca="1">TblExplore[[#This Row],[Land]]</f>
        <v>600</v>
      </c>
      <c r="R83" s="228">
        <f>TblExplore[[#This Row],[Hour]]</f>
        <v>80</v>
      </c>
      <c r="S83" s="284"/>
      <c r="T83" s="232"/>
      <c r="U83" s="232"/>
      <c r="V83" s="232"/>
      <c r="W83" s="232"/>
      <c r="X83" s="232"/>
      <c r="Y83" s="232"/>
      <c r="Z83" s="232"/>
      <c r="AA83" s="205">
        <f ca="1">TblImps[[#This Row],[Real time]]</f>
        <v>44408.041666666475</v>
      </c>
      <c r="AB83" s="113">
        <f ca="1">TblMili[[#This Row],[Draftees]]</f>
        <v>1206</v>
      </c>
      <c r="AC83" s="113">
        <f ca="1">TblProd[[#This Row],[Platinum]]</f>
        <v>555946</v>
      </c>
      <c r="AD83" s="281"/>
      <c r="AE83" s="49">
        <f ca="1">TblExplore[[#This Row],[Land]]-TblExplore[[#This Row],[Land Bonus]]*20</f>
        <v>600</v>
      </c>
      <c r="AF83" s="113">
        <f ca="1">ROUND(IF(TblExplore[[#This Row],[Land-DB]] &gt;= 300, 1000 + 3*((TblExplore[[#This Row],[Land-DB]]-300)^(MAX(MIN(TblExplore[[#This Row],[Land-DB]]^0.0185/1.05,1.121),1.09))), 1000 - (3 * (300-TblExplore[[#This Row],[Land-DB]])))*(1+ tech_2_6*Techs!AC83 + tech_2_9*Techs!AF83 + tech_3_7*Techs!AN83 + Overview!$I$32),0)</f>
        <v>2504</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201</v>
      </c>
    </row>
    <row r="84" spans="1:36" s="49" customFormat="1" x14ac:dyDescent="0.2">
      <c r="A84" s="228">
        <f>TblRezone[[#This Row],[Hour]]</f>
        <v>81</v>
      </c>
      <c r="B84" s="280">
        <f ca="1">TblConstr[[#This Row],[Land]]</f>
        <v>600</v>
      </c>
      <c r="C84" s="281"/>
      <c r="D84" s="282">
        <f ca="1">TblConstr[[#This Row],[Plain]]</f>
        <v>0</v>
      </c>
      <c r="E84" s="236">
        <f ca="1">TblConstr[[#This Row],[Forest]]</f>
        <v>0</v>
      </c>
      <c r="F84" s="478">
        <f ca="1">TblConstr[[#This Row],[Mountain]]</f>
        <v>0</v>
      </c>
      <c r="G84" s="482">
        <f ca="1">TblConstr[[#This Row],[Hill]]</f>
        <v>0</v>
      </c>
      <c r="H84" s="486">
        <f ca="1">TblConstr[[#This Row],[Swamp]]</f>
        <v>0</v>
      </c>
      <c r="I84" s="239">
        <f ca="1">TblConstr[[#This Row],[Cavern]]</f>
        <v>0</v>
      </c>
      <c r="J84" s="240">
        <f ca="1">TblConstr[[#This Row],[Water]]</f>
        <v>0</v>
      </c>
      <c r="K84" s="275"/>
      <c r="L84" s="275"/>
      <c r="M84" s="275"/>
      <c r="N84" s="283">
        <f ca="1">TblMili[[#This Row],[Smithies]]</f>
        <v>0.18</v>
      </c>
      <c r="O84" s="283">
        <f ca="1">TblPop[[#This Row],[Employment]]</f>
        <v>1</v>
      </c>
      <c r="P84" s="283">
        <f ca="1">TblImps[[#This Row],[Population]]</f>
        <v>1</v>
      </c>
      <c r="Q84" s="228">
        <f ca="1">TblExplore[[#This Row],[Land]]</f>
        <v>600</v>
      </c>
      <c r="R84" s="228">
        <f>TblExplore[[#This Row],[Hour]]</f>
        <v>81</v>
      </c>
      <c r="S84" s="284"/>
      <c r="T84" s="232"/>
      <c r="U84" s="232"/>
      <c r="V84" s="232"/>
      <c r="W84" s="232"/>
      <c r="X84" s="232"/>
      <c r="Y84" s="232"/>
      <c r="Z84" s="232"/>
      <c r="AA84" s="205">
        <f ca="1">TblImps[[#This Row],[Real time]]</f>
        <v>44408.083333333139</v>
      </c>
      <c r="AB84" s="113">
        <f ca="1">TblMili[[#This Row],[Draftees]]</f>
        <v>1275</v>
      </c>
      <c r="AC84" s="113">
        <f ca="1">TblProd[[#This Row],[Platinum]]</f>
        <v>586404</v>
      </c>
      <c r="AD84" s="281"/>
      <c r="AE84" s="49">
        <f ca="1">TblExplore[[#This Row],[Land]]-TblExplore[[#This Row],[Land Bonus]]*20</f>
        <v>600</v>
      </c>
      <c r="AF84" s="113">
        <f ca="1">ROUND(IF(TblExplore[[#This Row],[Land-DB]] &gt;= 300, 1000 + 3*((TblExplore[[#This Row],[Land-DB]]-300)^(MAX(MIN(TblExplore[[#This Row],[Land-DB]]^0.0185/1.05,1.121),1.09))), 1000 - (3 * (300-TblExplore[[#This Row],[Land-DB]])))*(1+ tech_2_6*Techs!AC84 + tech_2_9*Techs!AF84 + tech_3_7*Techs!AN84 + Overview!$I$32),0)</f>
        <v>2504</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212</v>
      </c>
    </row>
    <row r="85" spans="1:36" s="49" customFormat="1" x14ac:dyDescent="0.2">
      <c r="A85" s="228">
        <f>TblRezone[[#This Row],[Hour]]</f>
        <v>82</v>
      </c>
      <c r="B85" s="280">
        <f ca="1">TblConstr[[#This Row],[Land]]</f>
        <v>600</v>
      </c>
      <c r="C85" s="281"/>
      <c r="D85" s="282">
        <f ca="1">TblConstr[[#This Row],[Plain]]</f>
        <v>0</v>
      </c>
      <c r="E85" s="236">
        <f ca="1">TblConstr[[#This Row],[Forest]]</f>
        <v>0</v>
      </c>
      <c r="F85" s="478">
        <f ca="1">TblConstr[[#This Row],[Mountain]]</f>
        <v>0</v>
      </c>
      <c r="G85" s="482">
        <f ca="1">TblConstr[[#This Row],[Hill]]</f>
        <v>0</v>
      </c>
      <c r="H85" s="486">
        <f ca="1">TblConstr[[#This Row],[Swamp]]</f>
        <v>0</v>
      </c>
      <c r="I85" s="239">
        <f ca="1">TblConstr[[#This Row],[Cavern]]</f>
        <v>0</v>
      </c>
      <c r="J85" s="240">
        <f ca="1">TblConstr[[#This Row],[Water]]</f>
        <v>0</v>
      </c>
      <c r="K85" s="275"/>
      <c r="L85" s="275"/>
      <c r="M85" s="275"/>
      <c r="N85" s="283">
        <f ca="1">TblMili[[#This Row],[Smithies]]</f>
        <v>0.18</v>
      </c>
      <c r="O85" s="283">
        <f ca="1">TblPop[[#This Row],[Employment]]</f>
        <v>1</v>
      </c>
      <c r="P85" s="283">
        <f ca="1">TblImps[[#This Row],[Population]]</f>
        <v>1</v>
      </c>
      <c r="Q85" s="228">
        <f ca="1">TblExplore[[#This Row],[Land]]</f>
        <v>600</v>
      </c>
      <c r="R85" s="228">
        <f>TblExplore[[#This Row],[Hour]]</f>
        <v>82</v>
      </c>
      <c r="S85" s="284"/>
      <c r="T85" s="232"/>
      <c r="U85" s="232"/>
      <c r="V85" s="232"/>
      <c r="W85" s="232"/>
      <c r="X85" s="232"/>
      <c r="Y85" s="232"/>
      <c r="Z85" s="232"/>
      <c r="AA85" s="205">
        <f ca="1">TblImps[[#This Row],[Real time]]</f>
        <v>44408.124999999804</v>
      </c>
      <c r="AB85" s="113">
        <f ca="1">TblMili[[#This Row],[Draftees]]</f>
        <v>1343</v>
      </c>
      <c r="AC85" s="113">
        <f ca="1">TblProd[[#This Row],[Platinum]]</f>
        <v>616676</v>
      </c>
      <c r="AD85" s="281"/>
      <c r="AE85" s="49">
        <f ca="1">TblExplore[[#This Row],[Land]]-TblExplore[[#This Row],[Land Bonus]]*20</f>
        <v>600</v>
      </c>
      <c r="AF85" s="113">
        <f ca="1">ROUND(IF(TblExplore[[#This Row],[Land-DB]] &gt;= 300, 1000 + 3*((TblExplore[[#This Row],[Land-DB]]-300)^(MAX(MIN(TblExplore[[#This Row],[Land-DB]]^0.0185/1.05,1.121),1.09))), 1000 - (3 * (300-TblExplore[[#This Row],[Land-DB]])))*(1+ tech_2_6*Techs!AC85 + tech_2_9*Techs!AF85 + tech_3_7*Techs!AN85 + Overview!$I$32),0)</f>
        <v>2504</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223</v>
      </c>
    </row>
    <row r="86" spans="1:36" s="49" customFormat="1" x14ac:dyDescent="0.2">
      <c r="A86" s="228">
        <f>TblRezone[[#This Row],[Hour]]</f>
        <v>83</v>
      </c>
      <c r="B86" s="280">
        <f ca="1">TblConstr[[#This Row],[Land]]</f>
        <v>600</v>
      </c>
      <c r="C86" s="281"/>
      <c r="D86" s="282">
        <f ca="1">TblConstr[[#This Row],[Plain]]</f>
        <v>0</v>
      </c>
      <c r="E86" s="236">
        <f ca="1">TblConstr[[#This Row],[Forest]]</f>
        <v>0</v>
      </c>
      <c r="F86" s="478">
        <f ca="1">TblConstr[[#This Row],[Mountain]]</f>
        <v>0</v>
      </c>
      <c r="G86" s="482">
        <f ca="1">TblConstr[[#This Row],[Hill]]</f>
        <v>0</v>
      </c>
      <c r="H86" s="486">
        <f ca="1">TblConstr[[#This Row],[Swamp]]</f>
        <v>0</v>
      </c>
      <c r="I86" s="239">
        <f ca="1">TblConstr[[#This Row],[Cavern]]</f>
        <v>0</v>
      </c>
      <c r="J86" s="240">
        <f ca="1">TblConstr[[#This Row],[Water]]</f>
        <v>0</v>
      </c>
      <c r="K86" s="275"/>
      <c r="L86" s="275"/>
      <c r="M86" s="275"/>
      <c r="N86" s="283">
        <f ca="1">TblMili[[#This Row],[Smithies]]</f>
        <v>0.18</v>
      </c>
      <c r="O86" s="283">
        <f ca="1">TblPop[[#This Row],[Employment]]</f>
        <v>1</v>
      </c>
      <c r="P86" s="283">
        <f ca="1">TblImps[[#This Row],[Population]]</f>
        <v>1</v>
      </c>
      <c r="Q86" s="228">
        <f ca="1">TblExplore[[#This Row],[Land]]</f>
        <v>600</v>
      </c>
      <c r="R86" s="228">
        <f>TblExplore[[#This Row],[Hour]]</f>
        <v>83</v>
      </c>
      <c r="S86" s="284"/>
      <c r="T86" s="232"/>
      <c r="U86" s="232"/>
      <c r="V86" s="232"/>
      <c r="W86" s="232"/>
      <c r="X86" s="232"/>
      <c r="Y86" s="232"/>
      <c r="Z86" s="232"/>
      <c r="AA86" s="205">
        <f ca="1">TblImps[[#This Row],[Real time]]</f>
        <v>44408.166666666468</v>
      </c>
      <c r="AB86" s="113">
        <f ca="1">TblMili[[#This Row],[Draftees]]</f>
        <v>1410</v>
      </c>
      <c r="AC86" s="113">
        <f ca="1">TblProd[[#This Row],[Platinum]]</f>
        <v>646764</v>
      </c>
      <c r="AD86" s="281"/>
      <c r="AE86" s="49">
        <f ca="1">TblExplore[[#This Row],[Land]]-TblExplore[[#This Row],[Land Bonus]]*20</f>
        <v>600</v>
      </c>
      <c r="AF86" s="113">
        <f ca="1">ROUND(IF(TblExplore[[#This Row],[Land-DB]] &gt;= 300, 1000 + 3*((TblExplore[[#This Row],[Land-DB]]-300)^(MAX(MIN(TblExplore[[#This Row],[Land-DB]]^0.0185/1.05,1.121),1.09))), 1000 - (3 * (300-TblExplore[[#This Row],[Land-DB]])))*(1+ tech_2_6*Techs!AC86 + tech_2_9*Techs!AF86 + tech_3_7*Techs!AN86 + Overview!$I$32),0)</f>
        <v>2504</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235</v>
      </c>
    </row>
    <row r="87" spans="1:36" s="49" customFormat="1" x14ac:dyDescent="0.2">
      <c r="A87" s="228">
        <f>TblRezone[[#This Row],[Hour]]</f>
        <v>84</v>
      </c>
      <c r="B87" s="280">
        <f ca="1">TblConstr[[#This Row],[Land]]</f>
        <v>600</v>
      </c>
      <c r="C87" s="281"/>
      <c r="D87" s="282">
        <f ca="1">TblConstr[[#This Row],[Plain]]</f>
        <v>0</v>
      </c>
      <c r="E87" s="236">
        <f ca="1">TblConstr[[#This Row],[Forest]]</f>
        <v>0</v>
      </c>
      <c r="F87" s="478">
        <f ca="1">TblConstr[[#This Row],[Mountain]]</f>
        <v>0</v>
      </c>
      <c r="G87" s="482">
        <f ca="1">TblConstr[[#This Row],[Hill]]</f>
        <v>0</v>
      </c>
      <c r="H87" s="486">
        <f ca="1">TblConstr[[#This Row],[Swamp]]</f>
        <v>0</v>
      </c>
      <c r="I87" s="239">
        <f ca="1">TblConstr[[#This Row],[Cavern]]</f>
        <v>0</v>
      </c>
      <c r="J87" s="240">
        <f ca="1">TblConstr[[#This Row],[Water]]</f>
        <v>0</v>
      </c>
      <c r="K87" s="275"/>
      <c r="L87" s="275"/>
      <c r="M87" s="285"/>
      <c r="N87" s="283">
        <f ca="1">TblMili[[#This Row],[Smithies]]</f>
        <v>0.18</v>
      </c>
      <c r="O87" s="283">
        <f ca="1">TblPop[[#This Row],[Employment]]</f>
        <v>1</v>
      </c>
      <c r="P87" s="283">
        <f ca="1">TblImps[[#This Row],[Population]]</f>
        <v>1</v>
      </c>
      <c r="Q87" s="228">
        <f ca="1">TblExplore[[#This Row],[Land]]</f>
        <v>600</v>
      </c>
      <c r="R87" s="228">
        <f>TblExplore[[#This Row],[Hour]]</f>
        <v>84</v>
      </c>
      <c r="S87" s="284"/>
      <c r="T87" s="204"/>
      <c r="U87" s="232"/>
      <c r="V87" s="232"/>
      <c r="W87" s="232"/>
      <c r="X87" s="232"/>
      <c r="Y87" s="232"/>
      <c r="Z87" s="232"/>
      <c r="AA87" s="205">
        <f ca="1">TblImps[[#This Row],[Real time]]</f>
        <v>44408.208333333132</v>
      </c>
      <c r="AB87" s="113">
        <f ca="1">TblMili[[#This Row],[Draftees]]</f>
        <v>1477</v>
      </c>
      <c r="AC87" s="113">
        <f ca="1">TblProd[[#This Row],[Platinum]]</f>
        <v>676671</v>
      </c>
      <c r="AD87" s="281"/>
      <c r="AE87" s="49">
        <f ca="1">TblExplore[[#This Row],[Land]]-TblExplore[[#This Row],[Land Bonus]]*20</f>
        <v>600</v>
      </c>
      <c r="AF87" s="113">
        <f ca="1">ROUND(IF(TblExplore[[#This Row],[Land-DB]] &gt;= 300, 1000 + 3*((TblExplore[[#This Row],[Land-DB]]-300)^(MAX(MIN(TblExplore[[#This Row],[Land-DB]]^0.0185/1.05,1.121),1.09))), 1000 - (3 * (300-TblExplore[[#This Row],[Land-DB]])))*(1+ tech_2_6*Techs!AC87 + tech_2_9*Techs!AF87 + tech_3_7*Techs!AN87 + Overview!$I$32),0)</f>
        <v>2504</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246</v>
      </c>
    </row>
    <row r="88" spans="1:36" s="49" customFormat="1" x14ac:dyDescent="0.2">
      <c r="A88" s="228">
        <f>TblRezone[[#This Row],[Hour]]</f>
        <v>85</v>
      </c>
      <c r="B88" s="280">
        <f ca="1">TblConstr[[#This Row],[Land]]</f>
        <v>600</v>
      </c>
      <c r="C88" s="281"/>
      <c r="D88" s="282">
        <f ca="1">TblConstr[[#This Row],[Plain]]</f>
        <v>0</v>
      </c>
      <c r="E88" s="236">
        <f ca="1">TblConstr[[#This Row],[Forest]]</f>
        <v>0</v>
      </c>
      <c r="F88" s="478">
        <f ca="1">TblConstr[[#This Row],[Mountain]]</f>
        <v>0</v>
      </c>
      <c r="G88" s="482">
        <f ca="1">TblConstr[[#This Row],[Hill]]</f>
        <v>0</v>
      </c>
      <c r="H88" s="486">
        <f ca="1">TblConstr[[#This Row],[Swamp]]</f>
        <v>0</v>
      </c>
      <c r="I88" s="239">
        <f ca="1">TblConstr[[#This Row],[Cavern]]</f>
        <v>0</v>
      </c>
      <c r="J88" s="240">
        <f ca="1">TblConstr[[#This Row],[Water]]</f>
        <v>0</v>
      </c>
      <c r="K88" s="275"/>
      <c r="L88" s="275"/>
      <c r="M88" s="275"/>
      <c r="N88" s="283">
        <f ca="1">TblMili[[#This Row],[Smithies]]</f>
        <v>0.18</v>
      </c>
      <c r="O88" s="283">
        <f ca="1">TblPop[[#This Row],[Employment]]</f>
        <v>1</v>
      </c>
      <c r="P88" s="283">
        <f ca="1">TblImps[[#This Row],[Population]]</f>
        <v>1</v>
      </c>
      <c r="Q88" s="228">
        <f ca="1">TblExplore[[#This Row],[Land]]</f>
        <v>600</v>
      </c>
      <c r="R88" s="228">
        <f>TblExplore[[#This Row],[Hour]]</f>
        <v>85</v>
      </c>
      <c r="S88" s="284"/>
      <c r="T88" s="232"/>
      <c r="U88" s="232"/>
      <c r="V88" s="232"/>
      <c r="W88" s="232"/>
      <c r="X88" s="232"/>
      <c r="Y88" s="232"/>
      <c r="Z88" s="232"/>
      <c r="AA88" s="205">
        <f ca="1">TblImps[[#This Row],[Real time]]</f>
        <v>44408.249999999796</v>
      </c>
      <c r="AB88" s="113">
        <f ca="1">TblMili[[#This Row],[Draftees]]</f>
        <v>1543</v>
      </c>
      <c r="AC88" s="113">
        <f ca="1">TblProd[[#This Row],[Platinum]]</f>
        <v>706398</v>
      </c>
      <c r="AD88" s="281"/>
      <c r="AE88" s="49">
        <f ca="1">TblExplore[[#This Row],[Land]]-TblExplore[[#This Row],[Land Bonus]]*20</f>
        <v>600</v>
      </c>
      <c r="AF88" s="113">
        <f ca="1">ROUND(IF(TblExplore[[#This Row],[Land-DB]] &gt;= 300, 1000 + 3*((TblExplore[[#This Row],[Land-DB]]-300)^(MAX(MIN(TblExplore[[#This Row],[Land-DB]]^0.0185/1.05,1.121),1.09))), 1000 - (3 * (300-TblExplore[[#This Row],[Land-DB]])))*(1+ tech_2_6*Techs!AC88 + tech_2_9*Techs!AF88 + tech_3_7*Techs!AN88 + Overview!$I$32),0)</f>
        <v>2504</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257</v>
      </c>
    </row>
    <row r="89" spans="1:36" s="49" customFormat="1" x14ac:dyDescent="0.2">
      <c r="A89" s="228">
        <f>TblRezone[[#This Row],[Hour]]</f>
        <v>86</v>
      </c>
      <c r="B89" s="280">
        <f ca="1">TblConstr[[#This Row],[Land]]</f>
        <v>600</v>
      </c>
      <c r="C89" s="281"/>
      <c r="D89" s="282">
        <f ca="1">TblConstr[[#This Row],[Plain]]</f>
        <v>0</v>
      </c>
      <c r="E89" s="236">
        <f ca="1">TblConstr[[#This Row],[Forest]]</f>
        <v>0</v>
      </c>
      <c r="F89" s="478">
        <f ca="1">TblConstr[[#This Row],[Mountain]]</f>
        <v>0</v>
      </c>
      <c r="G89" s="482">
        <f ca="1">TblConstr[[#This Row],[Hill]]</f>
        <v>0</v>
      </c>
      <c r="H89" s="486">
        <f ca="1">TblConstr[[#This Row],[Swamp]]</f>
        <v>0</v>
      </c>
      <c r="I89" s="239">
        <f ca="1">TblConstr[[#This Row],[Cavern]]</f>
        <v>0</v>
      </c>
      <c r="J89" s="240">
        <f ca="1">TblConstr[[#This Row],[Water]]</f>
        <v>0</v>
      </c>
      <c r="K89" s="275"/>
      <c r="L89" s="275"/>
      <c r="M89" s="289"/>
      <c r="N89" s="283">
        <f ca="1">TblMili[[#This Row],[Smithies]]</f>
        <v>0.18</v>
      </c>
      <c r="O89" s="283">
        <f ca="1">TblPop[[#This Row],[Employment]]</f>
        <v>1</v>
      </c>
      <c r="P89" s="283">
        <f ca="1">TblImps[[#This Row],[Population]]</f>
        <v>1</v>
      </c>
      <c r="Q89" s="228">
        <f ca="1">TblExplore[[#This Row],[Land]]</f>
        <v>600</v>
      </c>
      <c r="R89" s="228">
        <f>TblExplore[[#This Row],[Hour]]</f>
        <v>86</v>
      </c>
      <c r="S89" s="284"/>
      <c r="T89" s="232"/>
      <c r="U89" s="232"/>
      <c r="V89" s="232"/>
      <c r="W89" s="232"/>
      <c r="X89" s="232"/>
      <c r="Y89" s="232"/>
      <c r="Z89" s="232"/>
      <c r="AA89" s="205">
        <f ca="1">TblImps[[#This Row],[Real time]]</f>
        <v>44408.291666666461</v>
      </c>
      <c r="AB89" s="113">
        <f ca="1">TblMili[[#This Row],[Draftees]]</f>
        <v>1608</v>
      </c>
      <c r="AC89" s="113">
        <f ca="1">TblProd[[#This Row],[Platinum]]</f>
        <v>735946</v>
      </c>
      <c r="AD89" s="281"/>
      <c r="AE89" s="49">
        <f ca="1">TblExplore[[#This Row],[Land]]-TblExplore[[#This Row],[Land Bonus]]*20</f>
        <v>600</v>
      </c>
      <c r="AF89" s="113">
        <f ca="1">ROUND(IF(TblExplore[[#This Row],[Land-DB]] &gt;= 300, 1000 + 3*((TblExplore[[#This Row],[Land-DB]]-300)^(MAX(MIN(TblExplore[[#This Row],[Land-DB]]^0.0185/1.05,1.121),1.09))), 1000 - (3 * (300-TblExplore[[#This Row],[Land-DB]])))*(1+ tech_2_6*Techs!AC89 + tech_2_9*Techs!AF89 + tech_3_7*Techs!AN89 + Overview!$I$32),0)</f>
        <v>2504</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268</v>
      </c>
    </row>
    <row r="90" spans="1:36" s="49" customFormat="1" x14ac:dyDescent="0.2">
      <c r="A90" s="228">
        <f>TblRezone[[#This Row],[Hour]]</f>
        <v>87</v>
      </c>
      <c r="B90" s="280">
        <f ca="1">TblConstr[[#This Row],[Land]]</f>
        <v>600</v>
      </c>
      <c r="C90" s="281"/>
      <c r="D90" s="282">
        <f ca="1">TblConstr[[#This Row],[Plain]]</f>
        <v>0</v>
      </c>
      <c r="E90" s="236">
        <f ca="1">TblConstr[[#This Row],[Forest]]</f>
        <v>0</v>
      </c>
      <c r="F90" s="478">
        <f ca="1">TblConstr[[#This Row],[Mountain]]</f>
        <v>0</v>
      </c>
      <c r="G90" s="482">
        <f ca="1">TblConstr[[#This Row],[Hill]]</f>
        <v>0</v>
      </c>
      <c r="H90" s="486">
        <f ca="1">TblConstr[[#This Row],[Swamp]]</f>
        <v>0</v>
      </c>
      <c r="I90" s="239">
        <f ca="1">TblConstr[[#This Row],[Cavern]]</f>
        <v>0</v>
      </c>
      <c r="J90" s="240">
        <f ca="1">TblConstr[[#This Row],[Water]]</f>
        <v>0</v>
      </c>
      <c r="K90" s="275"/>
      <c r="L90" s="275"/>
      <c r="M90" s="289"/>
      <c r="N90" s="283">
        <f ca="1">TblMili[[#This Row],[Smithies]]</f>
        <v>0.18</v>
      </c>
      <c r="O90" s="283">
        <f ca="1">TblPop[[#This Row],[Employment]]</f>
        <v>1</v>
      </c>
      <c r="P90" s="283">
        <f ca="1">TblImps[[#This Row],[Population]]</f>
        <v>1</v>
      </c>
      <c r="Q90" s="228">
        <f ca="1">TblExplore[[#This Row],[Land]]</f>
        <v>600</v>
      </c>
      <c r="R90" s="228">
        <f>TblExplore[[#This Row],[Hour]]</f>
        <v>87</v>
      </c>
      <c r="S90" s="284"/>
      <c r="T90" s="232"/>
      <c r="U90" s="232"/>
      <c r="V90" s="232"/>
      <c r="W90" s="232"/>
      <c r="X90" s="232"/>
      <c r="Y90" s="232"/>
      <c r="Z90" s="232"/>
      <c r="AA90" s="205">
        <f ca="1">TblImps[[#This Row],[Real time]]</f>
        <v>44408.333333333125</v>
      </c>
      <c r="AB90" s="113">
        <f ca="1">TblMili[[#This Row],[Draftees]]</f>
        <v>1673</v>
      </c>
      <c r="AC90" s="113">
        <f ca="1">TblProd[[#This Row],[Platinum]]</f>
        <v>765319</v>
      </c>
      <c r="AD90" s="281"/>
      <c r="AE90" s="49">
        <f ca="1">TblExplore[[#This Row],[Land]]-TblExplore[[#This Row],[Land Bonus]]*20</f>
        <v>600</v>
      </c>
      <c r="AF90" s="113">
        <f ca="1">ROUND(IF(TblExplore[[#This Row],[Land-DB]] &gt;= 300, 1000 + 3*((TblExplore[[#This Row],[Land-DB]]-300)^(MAX(MIN(TblExplore[[#This Row],[Land-DB]]^0.0185/1.05,1.121),1.09))), 1000 - (3 * (300-TblExplore[[#This Row],[Land-DB]])))*(1+ tech_2_6*Techs!AC90 + tech_2_9*Techs!AF90 + tech_3_7*Techs!AN90 + Overview!$I$32),0)</f>
        <v>2504</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278</v>
      </c>
    </row>
    <row r="91" spans="1:36" s="49" customFormat="1" x14ac:dyDescent="0.2">
      <c r="A91" s="228">
        <f>TblRezone[[#This Row],[Hour]]</f>
        <v>88</v>
      </c>
      <c r="B91" s="280">
        <f ca="1">TblConstr[[#This Row],[Land]]</f>
        <v>600</v>
      </c>
      <c r="C91" s="281"/>
      <c r="D91" s="282">
        <f ca="1">TblConstr[[#This Row],[Plain]]</f>
        <v>0</v>
      </c>
      <c r="E91" s="236">
        <f ca="1">TblConstr[[#This Row],[Forest]]</f>
        <v>0</v>
      </c>
      <c r="F91" s="478">
        <f ca="1">TblConstr[[#This Row],[Mountain]]</f>
        <v>0</v>
      </c>
      <c r="G91" s="482">
        <f ca="1">TblConstr[[#This Row],[Hill]]</f>
        <v>0</v>
      </c>
      <c r="H91" s="486">
        <f ca="1">TblConstr[[#This Row],[Swamp]]</f>
        <v>0</v>
      </c>
      <c r="I91" s="239">
        <f ca="1">TblConstr[[#This Row],[Cavern]]</f>
        <v>0</v>
      </c>
      <c r="J91" s="240">
        <f ca="1">TblConstr[[#This Row],[Water]]</f>
        <v>0</v>
      </c>
      <c r="K91" s="275"/>
      <c r="L91" s="275"/>
      <c r="M91" s="289"/>
      <c r="N91" s="283">
        <f ca="1">TblMili[[#This Row],[Smithies]]</f>
        <v>0.18</v>
      </c>
      <c r="O91" s="283">
        <f ca="1">TblPop[[#This Row],[Employment]]</f>
        <v>1</v>
      </c>
      <c r="P91" s="283">
        <f ca="1">TblImps[[#This Row],[Population]]</f>
        <v>1</v>
      </c>
      <c r="Q91" s="228">
        <f ca="1">TblExplore[[#This Row],[Land]]</f>
        <v>600</v>
      </c>
      <c r="R91" s="228">
        <f>TblExplore[[#This Row],[Hour]]</f>
        <v>88</v>
      </c>
      <c r="S91" s="284"/>
      <c r="T91" s="204"/>
      <c r="U91" s="232"/>
      <c r="V91" s="232"/>
      <c r="W91" s="232"/>
      <c r="X91" s="232"/>
      <c r="Y91" s="232"/>
      <c r="Z91" s="232"/>
      <c r="AA91" s="205">
        <f ca="1">TblImps[[#This Row],[Real time]]</f>
        <v>44408.374999999789</v>
      </c>
      <c r="AB91" s="113">
        <f ca="1">TblMili[[#This Row],[Draftees]]</f>
        <v>1737</v>
      </c>
      <c r="AC91" s="113">
        <f ca="1">TblProd[[#This Row],[Platinum]]</f>
        <v>794516</v>
      </c>
      <c r="AD91" s="281"/>
      <c r="AE91" s="49">
        <f ca="1">TblExplore[[#This Row],[Land]]-TblExplore[[#This Row],[Land Bonus]]*20</f>
        <v>600</v>
      </c>
      <c r="AF91" s="113">
        <f ca="1">ROUND(IF(TblExplore[[#This Row],[Land-DB]] &gt;= 300, 1000 + 3*((TblExplore[[#This Row],[Land-DB]]-300)^(MAX(MIN(TblExplore[[#This Row],[Land-DB]]^0.0185/1.05,1.121),1.09))), 1000 - (3 * (300-TblExplore[[#This Row],[Land-DB]])))*(1+ tech_2_6*Techs!AC91 + tech_2_9*Techs!AF91 + tech_3_7*Techs!AN91 + Overview!$I$32),0)</f>
        <v>2504</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289</v>
      </c>
    </row>
    <row r="92" spans="1:36" s="49" customFormat="1" x14ac:dyDescent="0.2">
      <c r="A92" s="228">
        <f>TblRezone[[#This Row],[Hour]]</f>
        <v>89</v>
      </c>
      <c r="B92" s="280">
        <f ca="1">TblConstr[[#This Row],[Land]]</f>
        <v>600</v>
      </c>
      <c r="C92" s="281"/>
      <c r="D92" s="282">
        <f ca="1">TblConstr[[#This Row],[Plain]]</f>
        <v>0</v>
      </c>
      <c r="E92" s="236">
        <f ca="1">TblConstr[[#This Row],[Forest]]</f>
        <v>0</v>
      </c>
      <c r="F92" s="478">
        <f ca="1">TblConstr[[#This Row],[Mountain]]</f>
        <v>0</v>
      </c>
      <c r="G92" s="482">
        <f ca="1">TblConstr[[#This Row],[Hill]]</f>
        <v>0</v>
      </c>
      <c r="H92" s="486">
        <f ca="1">TblConstr[[#This Row],[Swamp]]</f>
        <v>0</v>
      </c>
      <c r="I92" s="239">
        <f ca="1">TblConstr[[#This Row],[Cavern]]</f>
        <v>0</v>
      </c>
      <c r="J92" s="240">
        <f ca="1">TblConstr[[#This Row],[Water]]</f>
        <v>0</v>
      </c>
      <c r="K92" s="275"/>
      <c r="L92" s="275"/>
      <c r="M92" s="289"/>
      <c r="N92" s="283">
        <f ca="1">TblMili[[#This Row],[Smithies]]</f>
        <v>0.18</v>
      </c>
      <c r="O92" s="283">
        <f ca="1">TblPop[[#This Row],[Employment]]</f>
        <v>1</v>
      </c>
      <c r="P92" s="283">
        <f ca="1">TblImps[[#This Row],[Population]]</f>
        <v>1</v>
      </c>
      <c r="Q92" s="228">
        <f ca="1">TblExplore[[#This Row],[Land]]</f>
        <v>600</v>
      </c>
      <c r="R92" s="228">
        <f>TblExplore[[#This Row],[Hour]]</f>
        <v>89</v>
      </c>
      <c r="S92" s="284"/>
      <c r="T92" s="204"/>
      <c r="U92" s="232"/>
      <c r="V92" s="232"/>
      <c r="W92" s="232"/>
      <c r="X92" s="232"/>
      <c r="Y92" s="232"/>
      <c r="Z92" s="232"/>
      <c r="AA92" s="205">
        <f ca="1">TblImps[[#This Row],[Real time]]</f>
        <v>44408.416666666453</v>
      </c>
      <c r="AB92" s="113">
        <f ca="1">TblMili[[#This Row],[Draftees]]</f>
        <v>1801</v>
      </c>
      <c r="AC92" s="113">
        <f ca="1">TblProd[[#This Row],[Platinum]]</f>
        <v>823541</v>
      </c>
      <c r="AD92" s="281"/>
      <c r="AE92" s="49">
        <f ca="1">TblExplore[[#This Row],[Land]]-TblExplore[[#This Row],[Land Bonus]]*20</f>
        <v>600</v>
      </c>
      <c r="AF92" s="113">
        <f ca="1">ROUND(IF(TblExplore[[#This Row],[Land-DB]] &gt;= 300, 1000 + 3*((TblExplore[[#This Row],[Land-DB]]-300)^(MAX(MIN(TblExplore[[#This Row],[Land-DB]]^0.0185/1.05,1.121),1.09))), 1000 - (3 * (300-TblExplore[[#This Row],[Land-DB]])))*(1+ tech_2_6*Techs!AC92 + tech_2_9*Techs!AF92 + tech_3_7*Techs!AN92 + Overview!$I$32),0)</f>
        <v>2504</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300</v>
      </c>
    </row>
    <row r="93" spans="1:36" s="49" customFormat="1" x14ac:dyDescent="0.2">
      <c r="A93" s="228">
        <f>TblRezone[[#This Row],[Hour]]</f>
        <v>90</v>
      </c>
      <c r="B93" s="280">
        <f ca="1">TblConstr[[#This Row],[Land]]</f>
        <v>600</v>
      </c>
      <c r="C93" s="281"/>
      <c r="D93" s="282">
        <f ca="1">TblConstr[[#This Row],[Plain]]</f>
        <v>0</v>
      </c>
      <c r="E93" s="236">
        <f ca="1">TblConstr[[#This Row],[Forest]]</f>
        <v>0</v>
      </c>
      <c r="F93" s="478">
        <f ca="1">TblConstr[[#This Row],[Mountain]]</f>
        <v>0</v>
      </c>
      <c r="G93" s="482">
        <f ca="1">TblConstr[[#This Row],[Hill]]</f>
        <v>0</v>
      </c>
      <c r="H93" s="486">
        <f ca="1">TblConstr[[#This Row],[Swamp]]</f>
        <v>0</v>
      </c>
      <c r="I93" s="239">
        <f ca="1">TblConstr[[#This Row],[Cavern]]</f>
        <v>0</v>
      </c>
      <c r="J93" s="240">
        <f ca="1">TblConstr[[#This Row],[Water]]</f>
        <v>0</v>
      </c>
      <c r="K93" s="275"/>
      <c r="L93" s="275"/>
      <c r="M93" s="289"/>
      <c r="N93" s="283">
        <f ca="1">TblMili[[#This Row],[Smithies]]</f>
        <v>0.18</v>
      </c>
      <c r="O93" s="283">
        <f ca="1">TblPop[[#This Row],[Employment]]</f>
        <v>1</v>
      </c>
      <c r="P93" s="283">
        <f ca="1">TblImps[[#This Row],[Population]]</f>
        <v>1</v>
      </c>
      <c r="Q93" s="228">
        <f ca="1">TblExplore[[#This Row],[Land]]</f>
        <v>600</v>
      </c>
      <c r="R93" s="228">
        <f>TblExplore[[#This Row],[Hour]]</f>
        <v>90</v>
      </c>
      <c r="S93" s="284"/>
      <c r="T93" s="232"/>
      <c r="U93" s="232"/>
      <c r="V93" s="232"/>
      <c r="W93" s="232"/>
      <c r="X93" s="232"/>
      <c r="Y93" s="232"/>
      <c r="Z93" s="232"/>
      <c r="AA93" s="205">
        <f ca="1">TblImps[[#This Row],[Real time]]</f>
        <v>44408.458333333117</v>
      </c>
      <c r="AB93" s="113">
        <f ca="1">TblMili[[#This Row],[Draftees]]</f>
        <v>1864</v>
      </c>
      <c r="AC93" s="113">
        <f ca="1">TblProd[[#This Row],[Platinum]]</f>
        <v>852393</v>
      </c>
      <c r="AD93" s="281"/>
      <c r="AE93" s="49">
        <f ca="1">TblExplore[[#This Row],[Land]]-TblExplore[[#This Row],[Land Bonus]]*20</f>
        <v>600</v>
      </c>
      <c r="AF93" s="113">
        <f ca="1">ROUND(IF(TblExplore[[#This Row],[Land-DB]] &gt;= 300, 1000 + 3*((TblExplore[[#This Row],[Land-DB]]-300)^(MAX(MIN(TblExplore[[#This Row],[Land-DB]]^0.0185/1.05,1.121),1.09))), 1000 - (3 * (300-TblExplore[[#This Row],[Land-DB]])))*(1+ tech_2_6*Techs!AC93 + tech_2_9*Techs!AF93 + tech_3_7*Techs!AN93 + Overview!$I$32),0)</f>
        <v>2504</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310</v>
      </c>
    </row>
    <row r="94" spans="1:36" s="49" customFormat="1" x14ac:dyDescent="0.2">
      <c r="A94" s="228">
        <f>TblRezone[[#This Row],[Hour]]</f>
        <v>91</v>
      </c>
      <c r="B94" s="280">
        <f ca="1">TblConstr[[#This Row],[Land]]</f>
        <v>600</v>
      </c>
      <c r="C94" s="281"/>
      <c r="D94" s="282">
        <f ca="1">TblConstr[[#This Row],[Plain]]</f>
        <v>0</v>
      </c>
      <c r="E94" s="236">
        <f ca="1">TblConstr[[#This Row],[Forest]]</f>
        <v>0</v>
      </c>
      <c r="F94" s="478">
        <f ca="1">TblConstr[[#This Row],[Mountain]]</f>
        <v>0</v>
      </c>
      <c r="G94" s="482">
        <f ca="1">TblConstr[[#This Row],[Hill]]</f>
        <v>0</v>
      </c>
      <c r="H94" s="486">
        <f ca="1">TblConstr[[#This Row],[Swamp]]</f>
        <v>0</v>
      </c>
      <c r="I94" s="239">
        <f ca="1">TblConstr[[#This Row],[Cavern]]</f>
        <v>0</v>
      </c>
      <c r="J94" s="240">
        <f ca="1">TblConstr[[#This Row],[Water]]</f>
        <v>0</v>
      </c>
      <c r="K94" s="275"/>
      <c r="L94" s="275"/>
      <c r="M94" s="289"/>
      <c r="N94" s="283">
        <f ca="1">TblMili[[#This Row],[Smithies]]</f>
        <v>0.18</v>
      </c>
      <c r="O94" s="283">
        <f ca="1">TblPop[[#This Row],[Employment]]</f>
        <v>1</v>
      </c>
      <c r="P94" s="283">
        <f ca="1">TblImps[[#This Row],[Population]]</f>
        <v>1</v>
      </c>
      <c r="Q94" s="228">
        <f ca="1">TblExplore[[#This Row],[Land]]</f>
        <v>600</v>
      </c>
      <c r="R94" s="228">
        <f>TblExplore[[#This Row],[Hour]]</f>
        <v>91</v>
      </c>
      <c r="S94" s="284"/>
      <c r="T94" s="232"/>
      <c r="U94" s="232"/>
      <c r="V94" s="232"/>
      <c r="W94" s="232"/>
      <c r="X94" s="232"/>
      <c r="Y94" s="232"/>
      <c r="Z94" s="232"/>
      <c r="AA94" s="205">
        <f ca="1">TblImps[[#This Row],[Real time]]</f>
        <v>44408.499999999782</v>
      </c>
      <c r="AB94" s="113">
        <f ca="1">TblMili[[#This Row],[Draftees]]</f>
        <v>1926</v>
      </c>
      <c r="AC94" s="113">
        <f ca="1">TblProd[[#This Row],[Platinum]]</f>
        <v>881075</v>
      </c>
      <c r="AD94" s="281"/>
      <c r="AE94" s="49">
        <f ca="1">TblExplore[[#This Row],[Land]]-TblExplore[[#This Row],[Land Bonus]]*20</f>
        <v>600</v>
      </c>
      <c r="AF94" s="113">
        <f ca="1">ROUND(IF(TblExplore[[#This Row],[Land-DB]] &gt;= 300, 1000 + 3*((TblExplore[[#This Row],[Land-DB]]-300)^(MAX(MIN(TblExplore[[#This Row],[Land-DB]]^0.0185/1.05,1.121),1.09))), 1000 - (3 * (300-TblExplore[[#This Row],[Land-DB]])))*(1+ tech_2_6*Techs!AC94 + tech_2_9*Techs!AF94 + tech_3_7*Techs!AN94 + Overview!$I$32),0)</f>
        <v>2504</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321</v>
      </c>
    </row>
    <row r="95" spans="1:36" s="49" customFormat="1" x14ac:dyDescent="0.2">
      <c r="A95" s="228">
        <f>TblRezone[[#This Row],[Hour]]</f>
        <v>92</v>
      </c>
      <c r="B95" s="280">
        <f ca="1">TblConstr[[#This Row],[Land]]</f>
        <v>600</v>
      </c>
      <c r="C95" s="281"/>
      <c r="D95" s="282">
        <f ca="1">TblConstr[[#This Row],[Plain]]</f>
        <v>0</v>
      </c>
      <c r="E95" s="236">
        <f ca="1">TblConstr[[#This Row],[Forest]]</f>
        <v>0</v>
      </c>
      <c r="F95" s="478">
        <f ca="1">TblConstr[[#This Row],[Mountain]]</f>
        <v>0</v>
      </c>
      <c r="G95" s="482">
        <f ca="1">TblConstr[[#This Row],[Hill]]</f>
        <v>0</v>
      </c>
      <c r="H95" s="486">
        <f ca="1">TblConstr[[#This Row],[Swamp]]</f>
        <v>0</v>
      </c>
      <c r="I95" s="239">
        <f ca="1">TblConstr[[#This Row],[Cavern]]</f>
        <v>0</v>
      </c>
      <c r="J95" s="240">
        <f ca="1">TblConstr[[#This Row],[Water]]</f>
        <v>0</v>
      </c>
      <c r="K95" s="275"/>
      <c r="L95" s="275"/>
      <c r="M95" s="289"/>
      <c r="N95" s="283">
        <f ca="1">TblMili[[#This Row],[Smithies]]</f>
        <v>0.18</v>
      </c>
      <c r="O95" s="283">
        <f ca="1">TblPop[[#This Row],[Employment]]</f>
        <v>1</v>
      </c>
      <c r="P95" s="283">
        <f ca="1">TblImps[[#This Row],[Population]]</f>
        <v>1</v>
      </c>
      <c r="Q95" s="228">
        <f ca="1">TblExplore[[#This Row],[Land]]</f>
        <v>600</v>
      </c>
      <c r="R95" s="228">
        <f>TblExplore[[#This Row],[Hour]]</f>
        <v>92</v>
      </c>
      <c r="S95" s="284"/>
      <c r="T95" s="232"/>
      <c r="U95" s="232"/>
      <c r="V95" s="232"/>
      <c r="W95" s="232"/>
      <c r="X95" s="232"/>
      <c r="Y95" s="232"/>
      <c r="Z95" s="232"/>
      <c r="AA95" s="205">
        <f ca="1">TblImps[[#This Row],[Real time]]</f>
        <v>44408.541666666446</v>
      </c>
      <c r="AB95" s="113">
        <f ca="1">TblMili[[#This Row],[Draftees]]</f>
        <v>1988</v>
      </c>
      <c r="AC95" s="113">
        <f ca="1">TblProd[[#This Row],[Platinum]]</f>
        <v>909589</v>
      </c>
      <c r="AD95" s="281"/>
      <c r="AE95" s="49">
        <f ca="1">TblExplore[[#This Row],[Land]]-TblExplore[[#This Row],[Land Bonus]]*20</f>
        <v>600</v>
      </c>
      <c r="AF95" s="113">
        <f ca="1">ROUND(IF(TblExplore[[#This Row],[Land-DB]] &gt;= 300, 1000 + 3*((TblExplore[[#This Row],[Land-DB]]-300)^(MAX(MIN(TblExplore[[#This Row],[Land-DB]]^0.0185/1.05,1.121),1.09))), 1000 - (3 * (300-TblExplore[[#This Row],[Land-DB]])))*(1+ tech_2_6*Techs!AC95 + tech_2_9*Techs!AF95 + tech_3_7*Techs!AN95 + Overview!$I$32),0)</f>
        <v>2504</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331</v>
      </c>
    </row>
    <row r="96" spans="1:36" s="49" customFormat="1" x14ac:dyDescent="0.2">
      <c r="A96" s="228">
        <f>TblRezone[[#This Row],[Hour]]</f>
        <v>93</v>
      </c>
      <c r="B96" s="280">
        <f ca="1">TblConstr[[#This Row],[Land]]</f>
        <v>600</v>
      </c>
      <c r="C96" s="281"/>
      <c r="D96" s="282">
        <f ca="1">TblConstr[[#This Row],[Plain]]</f>
        <v>0</v>
      </c>
      <c r="E96" s="236">
        <f ca="1">TblConstr[[#This Row],[Forest]]</f>
        <v>0</v>
      </c>
      <c r="F96" s="478">
        <f ca="1">TblConstr[[#This Row],[Mountain]]</f>
        <v>0</v>
      </c>
      <c r="G96" s="482">
        <f ca="1">TblConstr[[#This Row],[Hill]]</f>
        <v>0</v>
      </c>
      <c r="H96" s="486">
        <f ca="1">TblConstr[[#This Row],[Swamp]]</f>
        <v>0</v>
      </c>
      <c r="I96" s="239">
        <f ca="1">TblConstr[[#This Row],[Cavern]]</f>
        <v>0</v>
      </c>
      <c r="J96" s="240">
        <f ca="1">TblConstr[[#This Row],[Water]]</f>
        <v>0</v>
      </c>
      <c r="K96" s="275"/>
      <c r="L96" s="275"/>
      <c r="M96" s="275"/>
      <c r="N96" s="283">
        <f ca="1">TblMili[[#This Row],[Smithies]]</f>
        <v>0.18</v>
      </c>
      <c r="O96" s="283">
        <f ca="1">TblPop[[#This Row],[Employment]]</f>
        <v>1</v>
      </c>
      <c r="P96" s="283">
        <f ca="1">TblImps[[#This Row],[Population]]</f>
        <v>1</v>
      </c>
      <c r="Q96" s="228">
        <f ca="1">TblExplore[[#This Row],[Land]]</f>
        <v>600</v>
      </c>
      <c r="R96" s="280">
        <f>TblExplore[[#This Row],[Hour]]</f>
        <v>93</v>
      </c>
      <c r="S96" s="284"/>
      <c r="T96" s="232"/>
      <c r="U96" s="232"/>
      <c r="V96" s="232"/>
      <c r="W96" s="232"/>
      <c r="X96" s="232"/>
      <c r="Y96" s="232"/>
      <c r="Z96" s="232"/>
      <c r="AA96" s="205">
        <f ca="1">TblImps[[#This Row],[Real time]]</f>
        <v>44408.58333333311</v>
      </c>
      <c r="AB96" s="113">
        <f ca="1">TblMili[[#This Row],[Draftees]]</f>
        <v>2049</v>
      </c>
      <c r="AC96" s="113">
        <f ca="1">TblProd[[#This Row],[Platinum]]</f>
        <v>937936</v>
      </c>
      <c r="AD96" s="281"/>
      <c r="AE96" s="49">
        <f ca="1">TblExplore[[#This Row],[Land]]-TblExplore[[#This Row],[Land Bonus]]*20</f>
        <v>600</v>
      </c>
      <c r="AF96" s="113">
        <f ca="1">ROUND(IF(TblExplore[[#This Row],[Land-DB]] &gt;= 300, 1000 + 3*((TblExplore[[#This Row],[Land-DB]]-300)^(MAX(MIN(TblExplore[[#This Row],[Land-DB]]^0.0185/1.05,1.121),1.09))), 1000 - (3 * (300-TblExplore[[#This Row],[Land-DB]])))*(1+ tech_2_6*Techs!AC96 + tech_2_9*Techs!AF96 + tech_3_7*Techs!AN96 + Overview!$I$32),0)</f>
        <v>2504</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341</v>
      </c>
    </row>
    <row r="97" spans="1:36" s="49" customFormat="1" x14ac:dyDescent="0.2">
      <c r="A97" s="228">
        <f>TblRezone[[#This Row],[Hour]]</f>
        <v>94</v>
      </c>
      <c r="B97" s="280">
        <f ca="1">TblConstr[[#This Row],[Land]]</f>
        <v>600</v>
      </c>
      <c r="C97" s="281"/>
      <c r="D97" s="282">
        <f ca="1">TblConstr[[#This Row],[Plain]]</f>
        <v>0</v>
      </c>
      <c r="E97" s="236">
        <f ca="1">TblConstr[[#This Row],[Forest]]</f>
        <v>0</v>
      </c>
      <c r="F97" s="478">
        <f ca="1">TblConstr[[#This Row],[Mountain]]</f>
        <v>0</v>
      </c>
      <c r="G97" s="482">
        <f ca="1">TblConstr[[#This Row],[Hill]]</f>
        <v>0</v>
      </c>
      <c r="H97" s="486">
        <f ca="1">TblConstr[[#This Row],[Swamp]]</f>
        <v>0</v>
      </c>
      <c r="I97" s="239">
        <f ca="1">TblConstr[[#This Row],[Cavern]]</f>
        <v>0</v>
      </c>
      <c r="J97" s="240">
        <f ca="1">TblConstr[[#This Row],[Water]]</f>
        <v>0</v>
      </c>
      <c r="K97" s="275"/>
      <c r="L97" s="275"/>
      <c r="M97" s="275"/>
      <c r="N97" s="283">
        <f ca="1">TblMili[[#This Row],[Smithies]]</f>
        <v>0.18</v>
      </c>
      <c r="O97" s="283">
        <f ca="1">TblPop[[#This Row],[Employment]]</f>
        <v>1</v>
      </c>
      <c r="P97" s="283">
        <f ca="1">TblImps[[#This Row],[Population]]</f>
        <v>1</v>
      </c>
      <c r="Q97" s="228">
        <f ca="1">TblExplore[[#This Row],[Land]]</f>
        <v>600</v>
      </c>
      <c r="R97" s="280">
        <f>TblExplore[[#This Row],[Hour]]</f>
        <v>94</v>
      </c>
      <c r="S97" s="284"/>
      <c r="T97" s="232"/>
      <c r="U97" s="232"/>
      <c r="V97" s="232"/>
      <c r="W97" s="232"/>
      <c r="X97" s="232"/>
      <c r="Y97" s="232"/>
      <c r="Z97" s="232"/>
      <c r="AA97" s="205">
        <f ca="1">TblImps[[#This Row],[Real time]]</f>
        <v>44408.624999999774</v>
      </c>
      <c r="AB97" s="113">
        <f ca="1">TblMili[[#This Row],[Draftees]]</f>
        <v>2109</v>
      </c>
      <c r="AC97" s="113">
        <f ca="1">TblProd[[#This Row],[Platinum]]</f>
        <v>966118</v>
      </c>
      <c r="AD97" s="281"/>
      <c r="AE97" s="49">
        <f ca="1">TblExplore[[#This Row],[Land]]-TblExplore[[#This Row],[Land Bonus]]*20</f>
        <v>600</v>
      </c>
      <c r="AF97" s="113">
        <f ca="1">ROUND(IF(TblExplore[[#This Row],[Land-DB]] &gt;= 300, 1000 + 3*((TblExplore[[#This Row],[Land-DB]]-300)^(MAX(MIN(TblExplore[[#This Row],[Land-DB]]^0.0185/1.05,1.121),1.09))), 1000 - (3 * (300-TblExplore[[#This Row],[Land-DB]])))*(1+ tech_2_6*Techs!AC97 + tech_2_9*Techs!AF97 + tech_3_7*Techs!AN97 + Overview!$I$32),0)</f>
        <v>2504</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351</v>
      </c>
    </row>
    <row r="98" spans="1:36" s="49" customFormat="1" x14ac:dyDescent="0.2">
      <c r="A98" s="228">
        <f>TblRezone[[#This Row],[Hour]]</f>
        <v>95</v>
      </c>
      <c r="B98" s="280">
        <f ca="1">TblConstr[[#This Row],[Land]]</f>
        <v>600</v>
      </c>
      <c r="C98" s="281"/>
      <c r="D98" s="282">
        <f ca="1">TblConstr[[#This Row],[Plain]]</f>
        <v>0</v>
      </c>
      <c r="E98" s="236">
        <f ca="1">TblConstr[[#This Row],[Forest]]</f>
        <v>0</v>
      </c>
      <c r="F98" s="478">
        <f ca="1">TblConstr[[#This Row],[Mountain]]</f>
        <v>0</v>
      </c>
      <c r="G98" s="482">
        <f ca="1">TblConstr[[#This Row],[Hill]]</f>
        <v>0</v>
      </c>
      <c r="H98" s="486">
        <f ca="1">TblConstr[[#This Row],[Swamp]]</f>
        <v>0</v>
      </c>
      <c r="I98" s="239">
        <f ca="1">TblConstr[[#This Row],[Cavern]]</f>
        <v>0</v>
      </c>
      <c r="J98" s="240">
        <f ca="1">TblConstr[[#This Row],[Water]]</f>
        <v>0</v>
      </c>
      <c r="K98" s="275"/>
      <c r="L98" s="275"/>
      <c r="M98" s="289"/>
      <c r="N98" s="283">
        <f ca="1">TblMili[[#This Row],[Smithies]]</f>
        <v>0.18</v>
      </c>
      <c r="O98" s="283">
        <f ca="1">TblPop[[#This Row],[Employment]]</f>
        <v>1</v>
      </c>
      <c r="P98" s="283">
        <f ca="1">TblImps[[#This Row],[Population]]</f>
        <v>1</v>
      </c>
      <c r="Q98" s="228">
        <f ca="1">TblExplore[[#This Row],[Land]]</f>
        <v>600</v>
      </c>
      <c r="R98" s="228">
        <f>TblExplore[[#This Row],[Hour]]</f>
        <v>95</v>
      </c>
      <c r="S98" s="284"/>
      <c r="T98" s="232"/>
      <c r="U98" s="232"/>
      <c r="V98" s="232"/>
      <c r="W98" s="232"/>
      <c r="X98" s="232"/>
      <c r="Y98" s="232"/>
      <c r="Z98" s="232"/>
      <c r="AA98" s="205">
        <f ca="1">TblImps[[#This Row],[Real time]]</f>
        <v>44408.666666666439</v>
      </c>
      <c r="AB98" s="113">
        <f ca="1">TblMili[[#This Row],[Draftees]]</f>
        <v>2169</v>
      </c>
      <c r="AC98" s="113">
        <f ca="1">TblProd[[#This Row],[Platinum]]</f>
        <v>994138</v>
      </c>
      <c r="AD98" s="281"/>
      <c r="AE98" s="49">
        <f ca="1">TblExplore[[#This Row],[Land]]-TblExplore[[#This Row],[Land Bonus]]*20</f>
        <v>600</v>
      </c>
      <c r="AF98" s="113">
        <f ca="1">ROUND(IF(TblExplore[[#This Row],[Land-DB]] &gt;= 300, 1000 + 3*((TblExplore[[#This Row],[Land-DB]]-300)^(MAX(MIN(TblExplore[[#This Row],[Land-DB]]^0.0185/1.05,1.121),1.09))), 1000 - (3 * (300-TblExplore[[#This Row],[Land-DB]])))*(1+ tech_2_6*Techs!AC98 + tech_2_9*Techs!AF98 + tech_3_7*Techs!AN98 + Overview!$I$32),0)</f>
        <v>2504</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361</v>
      </c>
    </row>
    <row r="99" spans="1:36" s="49" customFormat="1" x14ac:dyDescent="0.2">
      <c r="A99" s="228">
        <f>TblRezone[[#This Row],[Hour]]</f>
        <v>96</v>
      </c>
      <c r="B99" s="280">
        <f ca="1">TblConstr[[#This Row],[Land]]</f>
        <v>600</v>
      </c>
      <c r="C99" s="281"/>
      <c r="D99" s="282">
        <f ca="1">TblConstr[[#This Row],[Plain]]</f>
        <v>0</v>
      </c>
      <c r="E99" s="236">
        <f ca="1">TblConstr[[#This Row],[Forest]]</f>
        <v>0</v>
      </c>
      <c r="F99" s="478">
        <f ca="1">TblConstr[[#This Row],[Mountain]]</f>
        <v>0</v>
      </c>
      <c r="G99" s="482">
        <f ca="1">TblConstr[[#This Row],[Hill]]</f>
        <v>0</v>
      </c>
      <c r="H99" s="486">
        <f ca="1">TblConstr[[#This Row],[Swamp]]</f>
        <v>0</v>
      </c>
      <c r="I99" s="239">
        <f ca="1">TblConstr[[#This Row],[Cavern]]</f>
        <v>0</v>
      </c>
      <c r="J99" s="240">
        <f ca="1">TblConstr[[#This Row],[Water]]</f>
        <v>0</v>
      </c>
      <c r="K99" s="275"/>
      <c r="L99" s="275"/>
      <c r="M99" s="289"/>
      <c r="N99" s="283">
        <f ca="1">TblMili[[#This Row],[Smithies]]</f>
        <v>0.18</v>
      </c>
      <c r="O99" s="283">
        <f ca="1">TblPop[[#This Row],[Employment]]</f>
        <v>1</v>
      </c>
      <c r="P99" s="283">
        <f ca="1">TblImps[[#This Row],[Population]]</f>
        <v>1</v>
      </c>
      <c r="Q99" s="228">
        <f ca="1">TblExplore[[#This Row],[Land]]</f>
        <v>600</v>
      </c>
      <c r="R99" s="228">
        <f>TblExplore[[#This Row],[Hour]]</f>
        <v>96</v>
      </c>
      <c r="S99" s="284"/>
      <c r="T99" s="204"/>
      <c r="U99" s="232"/>
      <c r="V99" s="232"/>
      <c r="W99" s="232"/>
      <c r="X99" s="232"/>
      <c r="Y99" s="232"/>
      <c r="Z99" s="232"/>
      <c r="AA99" s="205">
        <f ca="1">TblImps[[#This Row],[Real time]]</f>
        <v>44408.708333333103</v>
      </c>
      <c r="AB99" s="113">
        <f ca="1">TblMili[[#This Row],[Draftees]]</f>
        <v>2228</v>
      </c>
      <c r="AC99" s="113">
        <f ca="1">TblProd[[#This Row],[Platinum]]</f>
        <v>1021996</v>
      </c>
      <c r="AD99" s="281"/>
      <c r="AE99" s="49">
        <f ca="1">TblExplore[[#This Row],[Land]]-TblExplore[[#This Row],[Land Bonus]]*20</f>
        <v>600</v>
      </c>
      <c r="AF99" s="113">
        <f ca="1">ROUND(IF(TblExplore[[#This Row],[Land-DB]] &gt;= 300, 1000 + 3*((TblExplore[[#This Row],[Land-DB]]-300)^(MAX(MIN(TblExplore[[#This Row],[Land-DB]]^0.0185/1.05,1.121),1.09))), 1000 - (3 * (300-TblExplore[[#This Row],[Land-DB]])))*(1+ tech_2_6*Techs!AC99 + tech_2_9*Techs!AF99 + tech_3_7*Techs!AN99 + Overview!$I$32),0)</f>
        <v>2504</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371</v>
      </c>
    </row>
    <row r="100" spans="1:36" s="49" customFormat="1" x14ac:dyDescent="0.2">
      <c r="A100" s="228">
        <f>TblRezone[[#This Row],[Hour]]</f>
        <v>97</v>
      </c>
      <c r="B100" s="280">
        <f ca="1">TblConstr[[#This Row],[Land]]</f>
        <v>600</v>
      </c>
      <c r="C100" s="281"/>
      <c r="D100" s="282">
        <f ca="1">TblConstr[[#This Row],[Plain]]</f>
        <v>0</v>
      </c>
      <c r="E100" s="236">
        <f ca="1">TblConstr[[#This Row],[Forest]]</f>
        <v>0</v>
      </c>
      <c r="F100" s="478">
        <f ca="1">TblConstr[[#This Row],[Mountain]]</f>
        <v>0</v>
      </c>
      <c r="G100" s="482">
        <f ca="1">TblConstr[[#This Row],[Hill]]</f>
        <v>0</v>
      </c>
      <c r="H100" s="486">
        <f ca="1">TblConstr[[#This Row],[Swamp]]</f>
        <v>0</v>
      </c>
      <c r="I100" s="239">
        <f ca="1">TblConstr[[#This Row],[Cavern]]</f>
        <v>0</v>
      </c>
      <c r="J100" s="240">
        <f ca="1">TblConstr[[#This Row],[Water]]</f>
        <v>0</v>
      </c>
      <c r="K100" s="275"/>
      <c r="L100" s="275"/>
      <c r="M100" s="289"/>
      <c r="N100" s="283">
        <f ca="1">TblMili[[#This Row],[Smithies]]</f>
        <v>0.18</v>
      </c>
      <c r="O100" s="283">
        <f ca="1">TblPop[[#This Row],[Employment]]</f>
        <v>1</v>
      </c>
      <c r="P100" s="283">
        <f ca="1">TblImps[[#This Row],[Population]]</f>
        <v>1</v>
      </c>
      <c r="Q100" s="228">
        <f ca="1">TblExplore[[#This Row],[Land]]</f>
        <v>600</v>
      </c>
      <c r="R100" s="228">
        <f>TblExplore[[#This Row],[Hour]]</f>
        <v>97</v>
      </c>
      <c r="S100" s="284"/>
      <c r="T100" s="232"/>
      <c r="U100" s="232"/>
      <c r="V100" s="232"/>
      <c r="W100" s="232"/>
      <c r="X100" s="232"/>
      <c r="Y100" s="232"/>
      <c r="Z100" s="232"/>
      <c r="AA100" s="205">
        <f ca="1">TblImps[[#This Row],[Real time]]</f>
        <v>44408.749999999767</v>
      </c>
      <c r="AB100" s="113">
        <f ca="1">TblMili[[#This Row],[Draftees]]</f>
        <v>2287</v>
      </c>
      <c r="AC100" s="113">
        <f ca="1">TblProd[[#This Row],[Platinum]]</f>
        <v>1049695</v>
      </c>
      <c r="AD100" s="281"/>
      <c r="AE100" s="49">
        <f ca="1">TblExplore[[#This Row],[Land]]-TblExplore[[#This Row],[Land Bonus]]*20</f>
        <v>600</v>
      </c>
      <c r="AF100" s="113">
        <f ca="1">ROUND(IF(TblExplore[[#This Row],[Land-DB]] &gt;= 300, 1000 + 3*((TblExplore[[#This Row],[Land-DB]]-300)^(MAX(MIN(TblExplore[[#This Row],[Land-DB]]^0.0185/1.05,1.121),1.09))), 1000 - (3 * (300-TblExplore[[#This Row],[Land-DB]])))*(1+ tech_2_6*Techs!AC100 + tech_2_9*Techs!AF100 + tech_3_7*Techs!AN100 + Overview!$I$32),0)</f>
        <v>2504</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381</v>
      </c>
    </row>
    <row r="101" spans="1:36" s="49" customFormat="1" x14ac:dyDescent="0.2">
      <c r="A101" s="228">
        <f>TblRezone[[#This Row],[Hour]]</f>
        <v>98</v>
      </c>
      <c r="B101" s="280">
        <f ca="1">TblConstr[[#This Row],[Land]]</f>
        <v>600</v>
      </c>
      <c r="C101" s="281"/>
      <c r="D101" s="282">
        <f ca="1">TblConstr[[#This Row],[Plain]]</f>
        <v>0</v>
      </c>
      <c r="E101" s="236">
        <f ca="1">TblConstr[[#This Row],[Forest]]</f>
        <v>0</v>
      </c>
      <c r="F101" s="478">
        <f ca="1">TblConstr[[#This Row],[Mountain]]</f>
        <v>0</v>
      </c>
      <c r="G101" s="482">
        <f ca="1">TblConstr[[#This Row],[Hill]]</f>
        <v>0</v>
      </c>
      <c r="H101" s="486">
        <f ca="1">TblConstr[[#This Row],[Swamp]]</f>
        <v>0</v>
      </c>
      <c r="I101" s="239">
        <f ca="1">TblConstr[[#This Row],[Cavern]]</f>
        <v>0</v>
      </c>
      <c r="J101" s="240">
        <f ca="1">TblConstr[[#This Row],[Water]]</f>
        <v>0</v>
      </c>
      <c r="K101" s="275"/>
      <c r="L101" s="275"/>
      <c r="M101" s="285"/>
      <c r="N101" s="283">
        <f ca="1">TblMili[[#This Row],[Smithies]]</f>
        <v>0.18</v>
      </c>
      <c r="O101" s="283">
        <f ca="1">TblPop[[#This Row],[Employment]]</f>
        <v>1</v>
      </c>
      <c r="P101" s="283">
        <f ca="1">TblImps[[#This Row],[Population]]</f>
        <v>1</v>
      </c>
      <c r="Q101" s="228">
        <f ca="1">TblExplore[[#This Row],[Land]]</f>
        <v>600</v>
      </c>
      <c r="R101" s="228">
        <f>TblExplore[[#This Row],[Hour]]</f>
        <v>98</v>
      </c>
      <c r="S101" s="284"/>
      <c r="T101" s="204"/>
      <c r="U101" s="232"/>
      <c r="V101" s="232"/>
      <c r="W101" s="232"/>
      <c r="X101" s="232"/>
      <c r="Y101" s="232"/>
      <c r="Z101" s="232"/>
      <c r="AA101" s="205">
        <f ca="1">TblImps[[#This Row],[Real time]]</f>
        <v>44408.791666666431</v>
      </c>
      <c r="AB101" s="113">
        <f ca="1">TblMili[[#This Row],[Draftees]]</f>
        <v>2345</v>
      </c>
      <c r="AC101" s="113">
        <f ca="1">TblProd[[#This Row],[Platinum]]</f>
        <v>1077235</v>
      </c>
      <c r="AD101" s="281"/>
      <c r="AE101" s="49">
        <f ca="1">TblExplore[[#This Row],[Land]]-TblExplore[[#This Row],[Land Bonus]]*20</f>
        <v>600</v>
      </c>
      <c r="AF101" s="113">
        <f ca="1">ROUND(IF(TblExplore[[#This Row],[Land-DB]] &gt;= 300, 1000 + 3*((TblExplore[[#This Row],[Land-DB]]-300)^(MAX(MIN(TblExplore[[#This Row],[Land-DB]]^0.0185/1.05,1.121),1.09))), 1000 - (3 * (300-TblExplore[[#This Row],[Land-DB]])))*(1+ tech_2_6*Techs!AC101 + tech_2_9*Techs!AF101 + tech_3_7*Techs!AN101 + Overview!$I$32),0)</f>
        <v>2504</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390</v>
      </c>
    </row>
    <row r="102" spans="1:36" s="49" customFormat="1" x14ac:dyDescent="0.2">
      <c r="A102" s="228">
        <f>TblRezone[[#This Row],[Hour]]</f>
        <v>99</v>
      </c>
      <c r="B102" s="280">
        <f ca="1">TblConstr[[#This Row],[Land]]</f>
        <v>600</v>
      </c>
      <c r="C102" s="281"/>
      <c r="D102" s="282">
        <f ca="1">TblConstr[[#This Row],[Plain]]</f>
        <v>0</v>
      </c>
      <c r="E102" s="236">
        <f ca="1">TblConstr[[#This Row],[Forest]]</f>
        <v>0</v>
      </c>
      <c r="F102" s="478">
        <f ca="1">TblConstr[[#This Row],[Mountain]]</f>
        <v>0</v>
      </c>
      <c r="G102" s="482">
        <f ca="1">TblConstr[[#This Row],[Hill]]</f>
        <v>0</v>
      </c>
      <c r="H102" s="486">
        <f ca="1">TblConstr[[#This Row],[Swamp]]</f>
        <v>0</v>
      </c>
      <c r="I102" s="239">
        <f ca="1">TblConstr[[#This Row],[Cavern]]</f>
        <v>0</v>
      </c>
      <c r="J102" s="240">
        <f ca="1">TblConstr[[#This Row],[Water]]</f>
        <v>0</v>
      </c>
      <c r="K102" s="275"/>
      <c r="L102" s="275"/>
      <c r="M102" s="289"/>
      <c r="N102" s="283">
        <f ca="1">TblMili[[#This Row],[Smithies]]</f>
        <v>0.18</v>
      </c>
      <c r="O102" s="283">
        <f ca="1">TblPop[[#This Row],[Employment]]</f>
        <v>1</v>
      </c>
      <c r="P102" s="283">
        <f ca="1">TblImps[[#This Row],[Population]]</f>
        <v>1</v>
      </c>
      <c r="Q102" s="228">
        <f ca="1">TblExplore[[#This Row],[Land]]</f>
        <v>600</v>
      </c>
      <c r="R102" s="228">
        <f>TblExplore[[#This Row],[Hour]]</f>
        <v>99</v>
      </c>
      <c r="S102" s="284"/>
      <c r="T102" s="204"/>
      <c r="U102" s="232"/>
      <c r="V102" s="232"/>
      <c r="W102" s="232"/>
      <c r="X102" s="232"/>
      <c r="Y102" s="232"/>
      <c r="Z102" s="232"/>
      <c r="AA102" s="205">
        <f ca="1">TblImps[[#This Row],[Real time]]</f>
        <v>44408.833333333096</v>
      </c>
      <c r="AB102" s="113">
        <f ca="1">TblMili[[#This Row],[Draftees]]</f>
        <v>2402</v>
      </c>
      <c r="AC102" s="113">
        <f ca="1">TblProd[[#This Row],[Platinum]]</f>
        <v>1104618</v>
      </c>
      <c r="AD102" s="281"/>
      <c r="AE102" s="49">
        <f ca="1">TblExplore[[#This Row],[Land]]-TblExplore[[#This Row],[Land Bonus]]*20</f>
        <v>600</v>
      </c>
      <c r="AF102" s="113">
        <f ca="1">ROUND(IF(TblExplore[[#This Row],[Land-DB]] &gt;= 300, 1000 + 3*((TblExplore[[#This Row],[Land-DB]]-300)^(MAX(MIN(TblExplore[[#This Row],[Land-DB]]^0.0185/1.05,1.121),1.09))), 1000 - (3 * (300-TblExplore[[#This Row],[Land-DB]])))*(1+ tech_2_6*Techs!AC102 + tech_2_9*Techs!AF102 + tech_3_7*Techs!AN102 + Overview!$I$32),0)</f>
        <v>2504</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400</v>
      </c>
    </row>
    <row r="103" spans="1:36" s="49" customFormat="1" x14ac:dyDescent="0.2">
      <c r="A103" s="228">
        <f>TblRezone[[#This Row],[Hour]]</f>
        <v>100</v>
      </c>
      <c r="B103" s="280">
        <f ca="1">TblConstr[[#This Row],[Land]]</f>
        <v>600</v>
      </c>
      <c r="C103" s="281"/>
      <c r="D103" s="282">
        <f ca="1">TblConstr[[#This Row],[Plain]]</f>
        <v>0</v>
      </c>
      <c r="E103" s="236">
        <f ca="1">TblConstr[[#This Row],[Forest]]</f>
        <v>0</v>
      </c>
      <c r="F103" s="478">
        <f ca="1">TblConstr[[#This Row],[Mountain]]</f>
        <v>0</v>
      </c>
      <c r="G103" s="482">
        <f ca="1">TblConstr[[#This Row],[Hill]]</f>
        <v>0</v>
      </c>
      <c r="H103" s="486">
        <f ca="1">TblConstr[[#This Row],[Swamp]]</f>
        <v>0</v>
      </c>
      <c r="I103" s="239">
        <f ca="1">TblConstr[[#This Row],[Cavern]]</f>
        <v>0</v>
      </c>
      <c r="J103" s="240">
        <f ca="1">TblConstr[[#This Row],[Water]]</f>
        <v>0</v>
      </c>
      <c r="K103" s="275"/>
      <c r="L103" s="275"/>
      <c r="M103" s="289"/>
      <c r="N103" s="283">
        <f ca="1">TblMili[[#This Row],[Smithies]]</f>
        <v>0.18</v>
      </c>
      <c r="O103" s="283">
        <f ca="1">TblPop[[#This Row],[Employment]]</f>
        <v>1</v>
      </c>
      <c r="P103" s="283">
        <f ca="1">TblImps[[#This Row],[Population]]</f>
        <v>1</v>
      </c>
      <c r="Q103" s="228">
        <f ca="1">TblExplore[[#This Row],[Land]]</f>
        <v>600</v>
      </c>
      <c r="R103" s="228">
        <f>TblExplore[[#This Row],[Hour]]</f>
        <v>100</v>
      </c>
      <c r="S103" s="284"/>
      <c r="T103" s="204"/>
      <c r="U103" s="232"/>
      <c r="V103" s="232"/>
      <c r="W103" s="232"/>
      <c r="X103" s="232"/>
      <c r="Y103" s="232"/>
      <c r="Z103" s="232"/>
      <c r="AA103" s="205">
        <f ca="1">TblImps[[#This Row],[Real time]]</f>
        <v>44408.87499999976</v>
      </c>
      <c r="AB103" s="113">
        <f ca="1">TblMili[[#This Row],[Draftees]]</f>
        <v>2459</v>
      </c>
      <c r="AC103" s="113">
        <f ca="1">TblProd[[#This Row],[Platinum]]</f>
        <v>1131847</v>
      </c>
      <c r="AD103" s="281"/>
      <c r="AE103" s="49">
        <f ca="1">TblExplore[[#This Row],[Land]]-TblExplore[[#This Row],[Land Bonus]]*20</f>
        <v>600</v>
      </c>
      <c r="AF103" s="113">
        <f ca="1">ROUND(IF(TblExplore[[#This Row],[Land-DB]] &gt;= 300, 1000 + 3*((TblExplore[[#This Row],[Land-DB]]-300)^(MAX(MIN(TblExplore[[#This Row],[Land-DB]]^0.0185/1.05,1.121),1.09))), 1000 - (3 * (300-TblExplore[[#This Row],[Land-DB]])))*(1+ tech_2_6*Techs!AC103 + tech_2_9*Techs!AF103 + tech_3_7*Techs!AN103 + Overview!$I$32),0)</f>
        <v>2504</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409</v>
      </c>
    </row>
    <row r="104" spans="1:36" s="49" customFormat="1" x14ac:dyDescent="0.2">
      <c r="A104" s="228">
        <f>TblRezone[[#This Row],[Hour]]</f>
        <v>101</v>
      </c>
      <c r="B104" s="280">
        <f ca="1">TblConstr[[#This Row],[Land]]</f>
        <v>600</v>
      </c>
      <c r="C104" s="281"/>
      <c r="D104" s="282">
        <f ca="1">TblConstr[[#This Row],[Plain]]</f>
        <v>0</v>
      </c>
      <c r="E104" s="236">
        <f ca="1">TblConstr[[#This Row],[Forest]]</f>
        <v>0</v>
      </c>
      <c r="F104" s="478">
        <f ca="1">TblConstr[[#This Row],[Mountain]]</f>
        <v>0</v>
      </c>
      <c r="G104" s="482">
        <f ca="1">TblConstr[[#This Row],[Hill]]</f>
        <v>0</v>
      </c>
      <c r="H104" s="486">
        <f ca="1">TblConstr[[#This Row],[Swamp]]</f>
        <v>0</v>
      </c>
      <c r="I104" s="239">
        <f ca="1">TblConstr[[#This Row],[Cavern]]</f>
        <v>0</v>
      </c>
      <c r="J104" s="240">
        <f ca="1">TblConstr[[#This Row],[Water]]</f>
        <v>0</v>
      </c>
      <c r="K104" s="275"/>
      <c r="L104" s="275"/>
      <c r="M104" s="289"/>
      <c r="N104" s="283">
        <f ca="1">TblMili[[#This Row],[Smithies]]</f>
        <v>0.18</v>
      </c>
      <c r="O104" s="283">
        <f ca="1">TblPop[[#This Row],[Employment]]</f>
        <v>1</v>
      </c>
      <c r="P104" s="283">
        <f ca="1">TblImps[[#This Row],[Population]]</f>
        <v>1</v>
      </c>
      <c r="Q104" s="228">
        <f ca="1">TblExplore[[#This Row],[Land]]</f>
        <v>600</v>
      </c>
      <c r="R104" s="228">
        <f>TblExplore[[#This Row],[Hour]]</f>
        <v>101</v>
      </c>
      <c r="S104" s="284"/>
      <c r="T104" s="204"/>
      <c r="U104" s="232"/>
      <c r="V104" s="232"/>
      <c r="W104" s="232"/>
      <c r="X104" s="232"/>
      <c r="Y104" s="232"/>
      <c r="Z104" s="232"/>
      <c r="AA104" s="205">
        <f ca="1">TblImps[[#This Row],[Real time]]</f>
        <v>44408.916666666424</v>
      </c>
      <c r="AB104" s="113">
        <f ca="1">TblMili[[#This Row],[Draftees]]</f>
        <v>2515</v>
      </c>
      <c r="AC104" s="113">
        <f ca="1">TblProd[[#This Row],[Platinum]]</f>
        <v>1158922</v>
      </c>
      <c r="AD104" s="281"/>
      <c r="AE104" s="49">
        <f ca="1">TblExplore[[#This Row],[Land]]-TblExplore[[#This Row],[Land Bonus]]*20</f>
        <v>600</v>
      </c>
      <c r="AF104" s="113">
        <f ca="1">ROUND(IF(TblExplore[[#This Row],[Land-DB]] &gt;= 300, 1000 + 3*((TblExplore[[#This Row],[Land-DB]]-300)^(MAX(MIN(TblExplore[[#This Row],[Land-DB]]^0.0185/1.05,1.121),1.09))), 1000 - (3 * (300-TblExplore[[#This Row],[Land-DB]])))*(1+ tech_2_6*Techs!AC104 + tech_2_9*Techs!AF104 + tech_3_7*Techs!AN104 + Overview!$I$32),0)</f>
        <v>2504</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419</v>
      </c>
    </row>
    <row r="105" spans="1:36" s="49" customFormat="1" x14ac:dyDescent="0.2">
      <c r="A105" s="228">
        <f>TblRezone[[#This Row],[Hour]]</f>
        <v>102</v>
      </c>
      <c r="B105" s="280">
        <f ca="1">TblConstr[[#This Row],[Land]]</f>
        <v>600</v>
      </c>
      <c r="C105" s="281"/>
      <c r="D105" s="282">
        <f ca="1">TblConstr[[#This Row],[Plain]]</f>
        <v>0</v>
      </c>
      <c r="E105" s="236">
        <f ca="1">TblConstr[[#This Row],[Forest]]</f>
        <v>0</v>
      </c>
      <c r="F105" s="478">
        <f ca="1">TblConstr[[#This Row],[Mountain]]</f>
        <v>0</v>
      </c>
      <c r="G105" s="482">
        <f ca="1">TblConstr[[#This Row],[Hill]]</f>
        <v>0</v>
      </c>
      <c r="H105" s="486">
        <f ca="1">TblConstr[[#This Row],[Swamp]]</f>
        <v>0</v>
      </c>
      <c r="I105" s="239">
        <f ca="1">TblConstr[[#This Row],[Cavern]]</f>
        <v>0</v>
      </c>
      <c r="J105" s="240">
        <f ca="1">TblConstr[[#This Row],[Water]]</f>
        <v>0</v>
      </c>
      <c r="K105" s="275"/>
      <c r="L105" s="275"/>
      <c r="M105" s="275"/>
      <c r="N105" s="283">
        <f ca="1">TblMili[[#This Row],[Smithies]]</f>
        <v>0.18</v>
      </c>
      <c r="O105" s="283">
        <f ca="1">TblPop[[#This Row],[Employment]]</f>
        <v>1</v>
      </c>
      <c r="P105" s="283">
        <f ca="1">TblImps[[#This Row],[Population]]</f>
        <v>1</v>
      </c>
      <c r="Q105" s="228">
        <f ca="1">TblExplore[[#This Row],[Land]]</f>
        <v>600</v>
      </c>
      <c r="R105" s="228">
        <f>TblExplore[[#This Row],[Hour]]</f>
        <v>102</v>
      </c>
      <c r="S105" s="284"/>
      <c r="T105" s="232"/>
      <c r="U105" s="232"/>
      <c r="V105" s="232"/>
      <c r="W105" s="232"/>
      <c r="X105" s="232"/>
      <c r="Y105" s="232"/>
      <c r="Z105" s="232"/>
      <c r="AA105" s="205">
        <f ca="1">TblImps[[#This Row],[Real time]]</f>
        <v>44408.958333333088</v>
      </c>
      <c r="AB105" s="113">
        <f ca="1">TblMili[[#This Row],[Draftees]]</f>
        <v>2571</v>
      </c>
      <c r="AC105" s="113">
        <f ca="1">TblProd[[#This Row],[Platinum]]</f>
        <v>1185846</v>
      </c>
      <c r="AD105" s="281"/>
      <c r="AE105" s="49">
        <f ca="1">TblExplore[[#This Row],[Land]]-TblExplore[[#This Row],[Land Bonus]]*20</f>
        <v>600</v>
      </c>
      <c r="AF105" s="113">
        <f ca="1">ROUND(IF(TblExplore[[#This Row],[Land-DB]] &gt;= 300, 1000 + 3*((TblExplore[[#This Row],[Land-DB]]-300)^(MAX(MIN(TblExplore[[#This Row],[Land-DB]]^0.0185/1.05,1.121),1.09))), 1000 - (3 * (300-TblExplore[[#This Row],[Land-DB]])))*(1+ tech_2_6*Techs!AC105 + tech_2_9*Techs!AF105 + tech_3_7*Techs!AN105 + Overview!$I$32),0)</f>
        <v>2504</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428</v>
      </c>
    </row>
    <row r="106" spans="1:36" s="49" customFormat="1" x14ac:dyDescent="0.2">
      <c r="A106" s="228">
        <f>TblRezone[[#This Row],[Hour]]</f>
        <v>103</v>
      </c>
      <c r="B106" s="280">
        <f ca="1">TblConstr[[#This Row],[Land]]</f>
        <v>600</v>
      </c>
      <c r="C106" s="281"/>
      <c r="D106" s="282">
        <f ca="1">TblConstr[[#This Row],[Plain]]</f>
        <v>0</v>
      </c>
      <c r="E106" s="236">
        <f ca="1">TblConstr[[#This Row],[Forest]]</f>
        <v>0</v>
      </c>
      <c r="F106" s="478">
        <f ca="1">TblConstr[[#This Row],[Mountain]]</f>
        <v>0</v>
      </c>
      <c r="G106" s="482">
        <f ca="1">TblConstr[[#This Row],[Hill]]</f>
        <v>0</v>
      </c>
      <c r="H106" s="486">
        <f ca="1">TblConstr[[#This Row],[Swamp]]</f>
        <v>0</v>
      </c>
      <c r="I106" s="239">
        <f ca="1">TblConstr[[#This Row],[Cavern]]</f>
        <v>0</v>
      </c>
      <c r="J106" s="240">
        <f ca="1">TblConstr[[#This Row],[Water]]</f>
        <v>0</v>
      </c>
      <c r="K106" s="275"/>
      <c r="L106" s="275"/>
      <c r="M106" s="293"/>
      <c r="N106" s="283">
        <f ca="1">TblMili[[#This Row],[Smithies]]</f>
        <v>0.18</v>
      </c>
      <c r="O106" s="283">
        <f ca="1">TblPop[[#This Row],[Employment]]</f>
        <v>1</v>
      </c>
      <c r="P106" s="283">
        <f ca="1">TblImps[[#This Row],[Population]]</f>
        <v>1</v>
      </c>
      <c r="Q106" s="228">
        <f ca="1">TblExplore[[#This Row],[Land]]</f>
        <v>600</v>
      </c>
      <c r="R106" s="228">
        <f>TblExplore[[#This Row],[Hour]]</f>
        <v>103</v>
      </c>
      <c r="S106" s="284"/>
      <c r="T106" s="232"/>
      <c r="U106" s="232"/>
      <c r="V106" s="232"/>
      <c r="W106" s="232"/>
      <c r="X106" s="232"/>
      <c r="Y106" s="232"/>
      <c r="Z106" s="232"/>
      <c r="AA106" s="205">
        <f ca="1">TblImps[[#This Row],[Real time]]</f>
        <v>44408.999999999753</v>
      </c>
      <c r="AB106" s="113">
        <f ca="1">TblMili[[#This Row],[Draftees]]</f>
        <v>2626</v>
      </c>
      <c r="AC106" s="113">
        <f ca="1">TblProd[[#This Row],[Platinum]]</f>
        <v>1212619</v>
      </c>
      <c r="AD106" s="281"/>
      <c r="AE106" s="49">
        <f ca="1">TblExplore[[#This Row],[Land]]-TblExplore[[#This Row],[Land Bonus]]*20</f>
        <v>600</v>
      </c>
      <c r="AF106" s="113">
        <f ca="1">ROUND(IF(TblExplore[[#This Row],[Land-DB]] &gt;= 300, 1000 + 3*((TblExplore[[#This Row],[Land-DB]]-300)^(MAX(MIN(TblExplore[[#This Row],[Land-DB]]^0.0185/1.05,1.121),1.09))), 1000 - (3 * (300-TblExplore[[#This Row],[Land-DB]])))*(1+ tech_2_6*Techs!AC106 + tech_2_9*Techs!AF106 + tech_3_7*Techs!AN106 + Overview!$I$32),0)</f>
        <v>2504</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437</v>
      </c>
    </row>
    <row r="107" spans="1:36" s="49" customFormat="1" x14ac:dyDescent="0.2">
      <c r="A107" s="228">
        <f>TblRezone[[#This Row],[Hour]]</f>
        <v>104</v>
      </c>
      <c r="B107" s="280">
        <f ca="1">TblConstr[[#This Row],[Land]]</f>
        <v>600</v>
      </c>
      <c r="C107" s="281"/>
      <c r="D107" s="282">
        <f ca="1">TblConstr[[#This Row],[Plain]]</f>
        <v>0</v>
      </c>
      <c r="E107" s="236">
        <f ca="1">TblConstr[[#This Row],[Forest]]</f>
        <v>0</v>
      </c>
      <c r="F107" s="478">
        <f ca="1">TblConstr[[#This Row],[Mountain]]</f>
        <v>0</v>
      </c>
      <c r="G107" s="482">
        <f ca="1">TblConstr[[#This Row],[Hill]]</f>
        <v>0</v>
      </c>
      <c r="H107" s="486">
        <f ca="1">TblConstr[[#This Row],[Swamp]]</f>
        <v>0</v>
      </c>
      <c r="I107" s="239">
        <f ca="1">TblConstr[[#This Row],[Cavern]]</f>
        <v>0</v>
      </c>
      <c r="J107" s="240">
        <f ca="1">TblConstr[[#This Row],[Water]]</f>
        <v>0</v>
      </c>
      <c r="K107" s="275"/>
      <c r="L107" s="275"/>
      <c r="M107" s="293"/>
      <c r="N107" s="283">
        <f ca="1">TblMili[[#This Row],[Smithies]]</f>
        <v>0.18</v>
      </c>
      <c r="O107" s="283">
        <f ca="1">TblPop[[#This Row],[Employment]]</f>
        <v>1</v>
      </c>
      <c r="P107" s="283">
        <f ca="1">TblImps[[#This Row],[Population]]</f>
        <v>1</v>
      </c>
      <c r="Q107" s="228">
        <f ca="1">TblExplore[[#This Row],[Land]]</f>
        <v>600</v>
      </c>
      <c r="R107" s="228">
        <f>TblExplore[[#This Row],[Hour]]</f>
        <v>104</v>
      </c>
      <c r="S107" s="284"/>
      <c r="T107" s="232"/>
      <c r="U107" s="232"/>
      <c r="V107" s="232"/>
      <c r="W107" s="232"/>
      <c r="X107" s="232"/>
      <c r="Y107" s="232"/>
      <c r="Z107" s="232"/>
      <c r="AA107" s="205">
        <f ca="1">TblImps[[#This Row],[Real time]]</f>
        <v>44409.041666666417</v>
      </c>
      <c r="AB107" s="113">
        <f ca="1">TblMili[[#This Row],[Draftees]]</f>
        <v>2681</v>
      </c>
      <c r="AC107" s="113">
        <f ca="1">TblProd[[#This Row],[Platinum]]</f>
        <v>1239243</v>
      </c>
      <c r="AD107" s="281"/>
      <c r="AE107" s="49">
        <f ca="1">TblExplore[[#This Row],[Land]]-TblExplore[[#This Row],[Land Bonus]]*20</f>
        <v>600</v>
      </c>
      <c r="AF107" s="113">
        <f ca="1">ROUND(IF(TblExplore[[#This Row],[Land-DB]] &gt;= 300, 1000 + 3*((TblExplore[[#This Row],[Land-DB]]-300)^(MAX(MIN(TblExplore[[#This Row],[Land-DB]]^0.0185/1.05,1.121),1.09))), 1000 - (3 * (300-TblExplore[[#This Row],[Land-DB]])))*(1+ tech_2_6*Techs!AC107 + tech_2_9*Techs!AF107 + tech_3_7*Techs!AN107 + Overview!$I$32),0)</f>
        <v>2504</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446</v>
      </c>
    </row>
    <row r="108" spans="1:36" s="49" customFormat="1" x14ac:dyDescent="0.2">
      <c r="A108" s="228">
        <f>TblRezone[[#This Row],[Hour]]</f>
        <v>105</v>
      </c>
      <c r="B108" s="280">
        <f ca="1">TblConstr[[#This Row],[Land]]</f>
        <v>600</v>
      </c>
      <c r="C108" s="281"/>
      <c r="D108" s="282">
        <f ca="1">TblConstr[[#This Row],[Plain]]</f>
        <v>0</v>
      </c>
      <c r="E108" s="236">
        <f ca="1">TblConstr[[#This Row],[Forest]]</f>
        <v>0</v>
      </c>
      <c r="F108" s="478">
        <f ca="1">TblConstr[[#This Row],[Mountain]]</f>
        <v>0</v>
      </c>
      <c r="G108" s="482">
        <f ca="1">TblConstr[[#This Row],[Hill]]</f>
        <v>0</v>
      </c>
      <c r="H108" s="486">
        <f ca="1">TblConstr[[#This Row],[Swamp]]</f>
        <v>0</v>
      </c>
      <c r="I108" s="239">
        <f ca="1">TblConstr[[#This Row],[Cavern]]</f>
        <v>0</v>
      </c>
      <c r="J108" s="240">
        <f ca="1">TblConstr[[#This Row],[Water]]</f>
        <v>0</v>
      </c>
      <c r="K108" s="275"/>
      <c r="L108" s="275"/>
      <c r="M108" s="275"/>
      <c r="N108" s="283">
        <f ca="1">TblMili[[#This Row],[Smithies]]</f>
        <v>0.18</v>
      </c>
      <c r="O108" s="283">
        <f ca="1">TblPop[[#This Row],[Employment]]</f>
        <v>1</v>
      </c>
      <c r="P108" s="283">
        <f ca="1">TblImps[[#This Row],[Population]]</f>
        <v>1</v>
      </c>
      <c r="Q108" s="228">
        <f ca="1">TblExplore[[#This Row],[Land]]</f>
        <v>600</v>
      </c>
      <c r="R108" s="228">
        <f>TblExplore[[#This Row],[Hour]]</f>
        <v>105</v>
      </c>
      <c r="S108" s="284"/>
      <c r="T108" s="232"/>
      <c r="U108" s="232"/>
      <c r="V108" s="232"/>
      <c r="W108" s="232"/>
      <c r="X108" s="232"/>
      <c r="Y108" s="232"/>
      <c r="Z108" s="232"/>
      <c r="AA108" s="205">
        <f ca="1">TblImps[[#This Row],[Real time]]</f>
        <v>44409.083333333081</v>
      </c>
      <c r="AB108" s="113">
        <f ca="1">TblMili[[#This Row],[Draftees]]</f>
        <v>2735</v>
      </c>
      <c r="AC108" s="113">
        <f ca="1">TblProd[[#This Row],[Platinum]]</f>
        <v>1265719</v>
      </c>
      <c r="AD108" s="281"/>
      <c r="AE108" s="49">
        <f ca="1">TblExplore[[#This Row],[Land]]-TblExplore[[#This Row],[Land Bonus]]*20</f>
        <v>600</v>
      </c>
      <c r="AF108" s="113">
        <f ca="1">ROUND(IF(TblExplore[[#This Row],[Land-DB]] &gt;= 300, 1000 + 3*((TblExplore[[#This Row],[Land-DB]]-300)^(MAX(MIN(TblExplore[[#This Row],[Land-DB]]^0.0185/1.05,1.121),1.09))), 1000 - (3 * (300-TblExplore[[#This Row],[Land-DB]])))*(1+ tech_2_6*Techs!AC108 + tech_2_9*Techs!AF108 + tech_3_7*Techs!AN108 + Overview!$I$32),0)</f>
        <v>2504</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455</v>
      </c>
    </row>
    <row r="109" spans="1:36" s="49" customFormat="1" x14ac:dyDescent="0.2">
      <c r="A109" s="228">
        <f>TblRezone[[#This Row],[Hour]]</f>
        <v>106</v>
      </c>
      <c r="B109" s="280">
        <f ca="1">TblConstr[[#This Row],[Land]]</f>
        <v>600</v>
      </c>
      <c r="C109" s="281"/>
      <c r="D109" s="282">
        <f ca="1">TblConstr[[#This Row],[Plain]]</f>
        <v>0</v>
      </c>
      <c r="E109" s="236">
        <f ca="1">TblConstr[[#This Row],[Forest]]</f>
        <v>0</v>
      </c>
      <c r="F109" s="478">
        <f ca="1">TblConstr[[#This Row],[Mountain]]</f>
        <v>0</v>
      </c>
      <c r="G109" s="482">
        <f ca="1">TblConstr[[#This Row],[Hill]]</f>
        <v>0</v>
      </c>
      <c r="H109" s="486">
        <f ca="1">TblConstr[[#This Row],[Swamp]]</f>
        <v>0</v>
      </c>
      <c r="I109" s="239">
        <f ca="1">TblConstr[[#This Row],[Cavern]]</f>
        <v>0</v>
      </c>
      <c r="J109" s="240">
        <f ca="1">TblConstr[[#This Row],[Water]]</f>
        <v>0</v>
      </c>
      <c r="K109" s="275"/>
      <c r="L109" s="275"/>
      <c r="M109" s="275"/>
      <c r="N109" s="283">
        <f ca="1">TblMili[[#This Row],[Smithies]]</f>
        <v>0.18</v>
      </c>
      <c r="O109" s="283">
        <f ca="1">TblPop[[#This Row],[Employment]]</f>
        <v>1</v>
      </c>
      <c r="P109" s="283">
        <f ca="1">TblImps[[#This Row],[Population]]</f>
        <v>1</v>
      </c>
      <c r="Q109" s="228">
        <f ca="1">TblExplore[[#This Row],[Land]]</f>
        <v>600</v>
      </c>
      <c r="R109" s="228">
        <f>TblExplore[[#This Row],[Hour]]</f>
        <v>106</v>
      </c>
      <c r="S109" s="284"/>
      <c r="T109" s="232"/>
      <c r="U109" s="232"/>
      <c r="V109" s="232"/>
      <c r="W109" s="232"/>
      <c r="X109" s="232"/>
      <c r="Y109" s="232"/>
      <c r="Z109" s="232"/>
      <c r="AA109" s="205">
        <f ca="1">TblImps[[#This Row],[Real time]]</f>
        <v>44409.124999999745</v>
      </c>
      <c r="AB109" s="113">
        <f ca="1">TblMili[[#This Row],[Draftees]]</f>
        <v>2789</v>
      </c>
      <c r="AC109" s="113">
        <f ca="1">TblProd[[#This Row],[Platinum]]</f>
        <v>1292049</v>
      </c>
      <c r="AD109" s="281"/>
      <c r="AE109" s="49">
        <f ca="1">TblExplore[[#This Row],[Land]]-TblExplore[[#This Row],[Land Bonus]]*20</f>
        <v>600</v>
      </c>
      <c r="AF109" s="113">
        <f ca="1">ROUND(IF(TblExplore[[#This Row],[Land-DB]] &gt;= 300, 1000 + 3*((TblExplore[[#This Row],[Land-DB]]-300)^(MAX(MIN(TblExplore[[#This Row],[Land-DB]]^0.0185/1.05,1.121),1.09))), 1000 - (3 * (300-TblExplore[[#This Row],[Land-DB]])))*(1+ tech_2_6*Techs!AC109 + tech_2_9*Techs!AF109 + tech_3_7*Techs!AN109 + Overview!$I$32),0)</f>
        <v>2504</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464</v>
      </c>
    </row>
    <row r="110" spans="1:36" s="49" customFormat="1" x14ac:dyDescent="0.2">
      <c r="A110" s="228">
        <f>TblRezone[[#This Row],[Hour]]</f>
        <v>107</v>
      </c>
      <c r="B110" s="280">
        <f ca="1">TblConstr[[#This Row],[Land]]</f>
        <v>600</v>
      </c>
      <c r="C110" s="281"/>
      <c r="D110" s="282">
        <f ca="1">TblConstr[[#This Row],[Plain]]</f>
        <v>0</v>
      </c>
      <c r="E110" s="236">
        <f ca="1">TblConstr[[#This Row],[Forest]]</f>
        <v>0</v>
      </c>
      <c r="F110" s="478">
        <f ca="1">TblConstr[[#This Row],[Mountain]]</f>
        <v>0</v>
      </c>
      <c r="G110" s="482">
        <f ca="1">TblConstr[[#This Row],[Hill]]</f>
        <v>0</v>
      </c>
      <c r="H110" s="486">
        <f ca="1">TblConstr[[#This Row],[Swamp]]</f>
        <v>0</v>
      </c>
      <c r="I110" s="239">
        <f ca="1">TblConstr[[#This Row],[Cavern]]</f>
        <v>0</v>
      </c>
      <c r="J110" s="240">
        <f ca="1">TblConstr[[#This Row],[Water]]</f>
        <v>0</v>
      </c>
      <c r="K110" s="275"/>
      <c r="L110" s="275"/>
      <c r="M110" s="275"/>
      <c r="N110" s="283">
        <f ca="1">TblMili[[#This Row],[Smithies]]</f>
        <v>0.18</v>
      </c>
      <c r="O110" s="283">
        <f ca="1">TblPop[[#This Row],[Employment]]</f>
        <v>1</v>
      </c>
      <c r="P110" s="283">
        <f ca="1">TblImps[[#This Row],[Population]]</f>
        <v>1</v>
      </c>
      <c r="Q110" s="228">
        <f ca="1">TblExplore[[#This Row],[Land]]</f>
        <v>600</v>
      </c>
      <c r="R110" s="228">
        <f>TblExplore[[#This Row],[Hour]]</f>
        <v>107</v>
      </c>
      <c r="S110" s="284"/>
      <c r="T110" s="204"/>
      <c r="U110" s="232"/>
      <c r="V110" s="232"/>
      <c r="W110" s="232"/>
      <c r="X110" s="232"/>
      <c r="Y110" s="232"/>
      <c r="Z110" s="232"/>
      <c r="AA110" s="205">
        <f ca="1">TblImps[[#This Row],[Real time]]</f>
        <v>44409.16666666641</v>
      </c>
      <c r="AB110" s="113">
        <f ca="1">TblMili[[#This Row],[Draftees]]</f>
        <v>2842</v>
      </c>
      <c r="AC110" s="113">
        <f ca="1">TblProd[[#This Row],[Platinum]]</f>
        <v>1318233</v>
      </c>
      <c r="AD110" s="281"/>
      <c r="AE110" s="49">
        <f ca="1">TblExplore[[#This Row],[Land]]-TblExplore[[#This Row],[Land Bonus]]*20</f>
        <v>600</v>
      </c>
      <c r="AF110" s="113">
        <f ca="1">ROUND(IF(TblExplore[[#This Row],[Land-DB]] &gt;= 300, 1000 + 3*((TblExplore[[#This Row],[Land-DB]]-300)^(MAX(MIN(TblExplore[[#This Row],[Land-DB]]^0.0185/1.05,1.121),1.09))), 1000 - (3 * (300-TblExplore[[#This Row],[Land-DB]])))*(1+ tech_2_6*Techs!AC110 + tech_2_9*Techs!AF110 + tech_3_7*Techs!AN110 + Overview!$I$32),0)</f>
        <v>2504</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473</v>
      </c>
    </row>
    <row r="111" spans="1:36" s="49" customFormat="1" x14ac:dyDescent="0.2">
      <c r="A111" s="228">
        <f>TblRezone[[#This Row],[Hour]]</f>
        <v>108</v>
      </c>
      <c r="B111" s="280">
        <f ca="1">TblConstr[[#This Row],[Land]]</f>
        <v>600</v>
      </c>
      <c r="C111" s="281"/>
      <c r="D111" s="282">
        <f ca="1">TblConstr[[#This Row],[Plain]]</f>
        <v>0</v>
      </c>
      <c r="E111" s="236">
        <f ca="1">TblConstr[[#This Row],[Forest]]</f>
        <v>0</v>
      </c>
      <c r="F111" s="478">
        <f ca="1">TblConstr[[#This Row],[Mountain]]</f>
        <v>0</v>
      </c>
      <c r="G111" s="482">
        <f ca="1">TblConstr[[#This Row],[Hill]]</f>
        <v>0</v>
      </c>
      <c r="H111" s="486">
        <f ca="1">TblConstr[[#This Row],[Swamp]]</f>
        <v>0</v>
      </c>
      <c r="I111" s="239">
        <f ca="1">TblConstr[[#This Row],[Cavern]]</f>
        <v>0</v>
      </c>
      <c r="J111" s="240">
        <f ca="1">TblConstr[[#This Row],[Water]]</f>
        <v>0</v>
      </c>
      <c r="K111" s="275"/>
      <c r="L111" s="275"/>
      <c r="M111" s="275"/>
      <c r="N111" s="283">
        <f ca="1">TblMili[[#This Row],[Smithies]]</f>
        <v>0.18</v>
      </c>
      <c r="O111" s="283">
        <f ca="1">TblPop[[#This Row],[Employment]]</f>
        <v>1</v>
      </c>
      <c r="P111" s="283">
        <f ca="1">TblImps[[#This Row],[Population]]</f>
        <v>1</v>
      </c>
      <c r="Q111" s="228">
        <f ca="1">TblExplore[[#This Row],[Land]]</f>
        <v>600</v>
      </c>
      <c r="R111" s="228">
        <f>TblExplore[[#This Row],[Hour]]</f>
        <v>108</v>
      </c>
      <c r="S111" s="284"/>
      <c r="T111" s="232"/>
      <c r="U111" s="232"/>
      <c r="V111" s="232"/>
      <c r="W111" s="232"/>
      <c r="X111" s="232"/>
      <c r="Y111" s="232"/>
      <c r="Z111" s="232"/>
      <c r="AA111" s="205">
        <f ca="1">TblImps[[#This Row],[Real time]]</f>
        <v>44409.208333333074</v>
      </c>
      <c r="AB111" s="113">
        <f ca="1">TblMili[[#This Row],[Draftees]]</f>
        <v>2894</v>
      </c>
      <c r="AC111" s="113">
        <f ca="1">TblProd[[#This Row],[Platinum]]</f>
        <v>1344274</v>
      </c>
      <c r="AD111" s="281"/>
      <c r="AE111" s="49">
        <f ca="1">TblExplore[[#This Row],[Land]]-TblExplore[[#This Row],[Land Bonus]]*20</f>
        <v>600</v>
      </c>
      <c r="AF111" s="113">
        <f ca="1">ROUND(IF(TblExplore[[#This Row],[Land-DB]] &gt;= 300, 1000 + 3*((TblExplore[[#This Row],[Land-DB]]-300)^(MAX(MIN(TblExplore[[#This Row],[Land-DB]]^0.0185/1.05,1.121),1.09))), 1000 - (3 * (300-TblExplore[[#This Row],[Land-DB]])))*(1+ tech_2_6*Techs!AC111 + tech_2_9*Techs!AF111 + tech_3_7*Techs!AN111 + Overview!$I$32),0)</f>
        <v>2504</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482</v>
      </c>
    </row>
    <row r="112" spans="1:36" s="49" customFormat="1" ht="12.75" customHeight="1" x14ac:dyDescent="0.2">
      <c r="A112" s="228">
        <f>TblRezone[[#This Row],[Hour]]</f>
        <v>109</v>
      </c>
      <c r="B112" s="280">
        <f ca="1">TblConstr[[#This Row],[Land]]</f>
        <v>600</v>
      </c>
      <c r="C112" s="281"/>
      <c r="D112" s="282">
        <f ca="1">TblConstr[[#This Row],[Plain]]</f>
        <v>0</v>
      </c>
      <c r="E112" s="236">
        <f ca="1">TblConstr[[#This Row],[Forest]]</f>
        <v>0</v>
      </c>
      <c r="F112" s="478">
        <f ca="1">TblConstr[[#This Row],[Mountain]]</f>
        <v>0</v>
      </c>
      <c r="G112" s="482">
        <f ca="1">TblConstr[[#This Row],[Hill]]</f>
        <v>0</v>
      </c>
      <c r="H112" s="486">
        <f ca="1">TblConstr[[#This Row],[Swamp]]</f>
        <v>0</v>
      </c>
      <c r="I112" s="239">
        <f ca="1">TblConstr[[#This Row],[Cavern]]</f>
        <v>0</v>
      </c>
      <c r="J112" s="240">
        <f ca="1">TblConstr[[#This Row],[Water]]</f>
        <v>0</v>
      </c>
      <c r="K112" s="275"/>
      <c r="L112" s="275"/>
      <c r="M112" s="275"/>
      <c r="N112" s="283">
        <f ca="1">TblMili[[#This Row],[Smithies]]</f>
        <v>0.18</v>
      </c>
      <c r="O112" s="283">
        <f ca="1">TblPop[[#This Row],[Employment]]</f>
        <v>1</v>
      </c>
      <c r="P112" s="283">
        <f ca="1">TblImps[[#This Row],[Population]]</f>
        <v>1</v>
      </c>
      <c r="Q112" s="228">
        <f ca="1">TblExplore[[#This Row],[Land]]</f>
        <v>600</v>
      </c>
      <c r="R112" s="228">
        <f>TblExplore[[#This Row],[Hour]]</f>
        <v>109</v>
      </c>
      <c r="S112" s="284"/>
      <c r="T112" s="232"/>
      <c r="U112" s="232"/>
      <c r="V112" s="232"/>
      <c r="W112" s="232"/>
      <c r="X112" s="232"/>
      <c r="Y112" s="232"/>
      <c r="Z112" s="232"/>
      <c r="AA112" s="205">
        <f ca="1">TblImps[[#This Row],[Real time]]</f>
        <v>44409.249999999738</v>
      </c>
      <c r="AB112" s="113">
        <f ca="1">TblMili[[#This Row],[Draftees]]</f>
        <v>2946</v>
      </c>
      <c r="AC112" s="113">
        <f ca="1">TblProd[[#This Row],[Platinum]]</f>
        <v>1370175</v>
      </c>
      <c r="AD112" s="281"/>
      <c r="AE112" s="49">
        <f ca="1">TblExplore[[#This Row],[Land]]-TblExplore[[#This Row],[Land Bonus]]*20</f>
        <v>600</v>
      </c>
      <c r="AF112" s="113">
        <f ca="1">ROUND(IF(TblExplore[[#This Row],[Land-DB]] &gt;= 300, 1000 + 3*((TblExplore[[#This Row],[Land-DB]]-300)^(MAX(MIN(TblExplore[[#This Row],[Land-DB]]^0.0185/1.05,1.121),1.09))), 1000 - (3 * (300-TblExplore[[#This Row],[Land-DB]])))*(1+ tech_2_6*Techs!AC112 + tech_2_9*Techs!AF112 + tech_3_7*Techs!AN112 + Overview!$I$32),0)</f>
        <v>2504</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491</v>
      </c>
    </row>
    <row r="113" spans="1:36" s="49" customFormat="1" x14ac:dyDescent="0.2">
      <c r="A113" s="228">
        <f>TblRezone[[#This Row],[Hour]]</f>
        <v>110</v>
      </c>
      <c r="B113" s="280">
        <f ca="1">TblConstr[[#This Row],[Land]]</f>
        <v>600</v>
      </c>
      <c r="C113" s="281"/>
      <c r="D113" s="282">
        <f ca="1">TblConstr[[#This Row],[Plain]]</f>
        <v>0</v>
      </c>
      <c r="E113" s="236">
        <f ca="1">TblConstr[[#This Row],[Forest]]</f>
        <v>0</v>
      </c>
      <c r="F113" s="478">
        <f ca="1">TblConstr[[#This Row],[Mountain]]</f>
        <v>0</v>
      </c>
      <c r="G113" s="482">
        <f ca="1">TblConstr[[#This Row],[Hill]]</f>
        <v>0</v>
      </c>
      <c r="H113" s="486">
        <f ca="1">TblConstr[[#This Row],[Swamp]]</f>
        <v>0</v>
      </c>
      <c r="I113" s="239">
        <f ca="1">TblConstr[[#This Row],[Cavern]]</f>
        <v>0</v>
      </c>
      <c r="J113" s="240">
        <f ca="1">TblConstr[[#This Row],[Water]]</f>
        <v>0</v>
      </c>
      <c r="K113" s="275"/>
      <c r="L113" s="275"/>
      <c r="M113" s="275"/>
      <c r="N113" s="283">
        <f ca="1">TblMili[[#This Row],[Smithies]]</f>
        <v>0.18</v>
      </c>
      <c r="O113" s="283">
        <f ca="1">TblPop[[#This Row],[Employment]]</f>
        <v>1</v>
      </c>
      <c r="P113" s="283">
        <f ca="1">TblImps[[#This Row],[Population]]</f>
        <v>1</v>
      </c>
      <c r="Q113" s="228">
        <f ca="1">TblExplore[[#This Row],[Land]]</f>
        <v>600</v>
      </c>
      <c r="R113" s="228">
        <f>TblExplore[[#This Row],[Hour]]</f>
        <v>110</v>
      </c>
      <c r="S113" s="284"/>
      <c r="T113" s="232"/>
      <c r="U113" s="232"/>
      <c r="V113" s="232"/>
      <c r="W113" s="232"/>
      <c r="X113" s="232"/>
      <c r="Y113" s="232"/>
      <c r="Z113" s="232"/>
      <c r="AA113" s="205">
        <f ca="1">TblImps[[#This Row],[Real time]]</f>
        <v>44409.291666666402</v>
      </c>
      <c r="AB113" s="113">
        <f ca="1">TblMili[[#This Row],[Draftees]]</f>
        <v>2997</v>
      </c>
      <c r="AC113" s="113">
        <f ca="1">TblProd[[#This Row],[Platinum]]</f>
        <v>1395935</v>
      </c>
      <c r="AD113" s="281"/>
      <c r="AE113" s="49">
        <f ca="1">TblExplore[[#This Row],[Land]]-TblExplore[[#This Row],[Land Bonus]]*20</f>
        <v>600</v>
      </c>
      <c r="AF113" s="113">
        <f ca="1">ROUND(IF(TblExplore[[#This Row],[Land-DB]] &gt;= 300, 1000 + 3*((TblExplore[[#This Row],[Land-DB]]-300)^(MAX(MIN(TblExplore[[#This Row],[Land-DB]]^0.0185/1.05,1.121),1.09))), 1000 - (3 * (300-TblExplore[[#This Row],[Land-DB]])))*(1+ tech_2_6*Techs!AC113 + tech_2_9*Techs!AF113 + tech_3_7*Techs!AN113 + Overview!$I$32),0)</f>
        <v>2504</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499</v>
      </c>
    </row>
    <row r="114" spans="1:36" s="49" customFormat="1" x14ac:dyDescent="0.2">
      <c r="A114" s="228">
        <f>TblRezone[[#This Row],[Hour]]</f>
        <v>111</v>
      </c>
      <c r="B114" s="280">
        <f ca="1">TblConstr[[#This Row],[Land]]</f>
        <v>600</v>
      </c>
      <c r="C114" s="281"/>
      <c r="D114" s="282">
        <f ca="1">TblConstr[[#This Row],[Plain]]</f>
        <v>0</v>
      </c>
      <c r="E114" s="236">
        <f ca="1">TblConstr[[#This Row],[Forest]]</f>
        <v>0</v>
      </c>
      <c r="F114" s="478">
        <f ca="1">TblConstr[[#This Row],[Mountain]]</f>
        <v>0</v>
      </c>
      <c r="G114" s="482">
        <f ca="1">TblConstr[[#This Row],[Hill]]</f>
        <v>0</v>
      </c>
      <c r="H114" s="486">
        <f ca="1">TblConstr[[#This Row],[Swamp]]</f>
        <v>0</v>
      </c>
      <c r="I114" s="239">
        <f ca="1">TblConstr[[#This Row],[Cavern]]</f>
        <v>0</v>
      </c>
      <c r="J114" s="240">
        <f ca="1">TblConstr[[#This Row],[Water]]</f>
        <v>0</v>
      </c>
      <c r="K114" s="275"/>
      <c r="L114" s="275"/>
      <c r="M114" s="275"/>
      <c r="N114" s="283">
        <f ca="1">TblMili[[#This Row],[Smithies]]</f>
        <v>0.18</v>
      </c>
      <c r="O114" s="283">
        <f ca="1">TblPop[[#This Row],[Employment]]</f>
        <v>1</v>
      </c>
      <c r="P114" s="283">
        <f ca="1">TblImps[[#This Row],[Population]]</f>
        <v>1</v>
      </c>
      <c r="Q114" s="228">
        <f ca="1">TblExplore[[#This Row],[Land]]</f>
        <v>600</v>
      </c>
      <c r="R114" s="228">
        <f>TblExplore[[#This Row],[Hour]]</f>
        <v>111</v>
      </c>
      <c r="S114" s="284"/>
      <c r="T114" s="232"/>
      <c r="U114" s="232"/>
      <c r="V114" s="232"/>
      <c r="W114" s="232"/>
      <c r="X114" s="232"/>
      <c r="Y114" s="232"/>
      <c r="Z114" s="232"/>
      <c r="AA114" s="205">
        <f ca="1">TblImps[[#This Row],[Real time]]</f>
        <v>44409.333333333067</v>
      </c>
      <c r="AB114" s="113">
        <f ca="1">TblMili[[#This Row],[Draftees]]</f>
        <v>3048</v>
      </c>
      <c r="AC114" s="113">
        <f ca="1">TblProd[[#This Row],[Platinum]]</f>
        <v>1421558</v>
      </c>
      <c r="AD114" s="281"/>
      <c r="AE114" s="49">
        <f ca="1">TblExplore[[#This Row],[Land]]-TblExplore[[#This Row],[Land Bonus]]*20</f>
        <v>600</v>
      </c>
      <c r="AF114" s="113">
        <f ca="1">ROUND(IF(TblExplore[[#This Row],[Land-DB]] &gt;= 300, 1000 + 3*((TblExplore[[#This Row],[Land-DB]]-300)^(MAX(MIN(TblExplore[[#This Row],[Land-DB]]^0.0185/1.05,1.121),1.09))), 1000 - (3 * (300-TblExplore[[#This Row],[Land-DB]])))*(1+ tech_2_6*Techs!AC114 + tech_2_9*Techs!AF114 + tech_3_7*Techs!AN114 + Overview!$I$32),0)</f>
        <v>2504</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508</v>
      </c>
    </row>
    <row r="115" spans="1:36" s="49" customFormat="1" x14ac:dyDescent="0.2">
      <c r="A115" s="228">
        <f>TblRezone[[#This Row],[Hour]]</f>
        <v>112</v>
      </c>
      <c r="B115" s="280">
        <f ca="1">TblConstr[[#This Row],[Land]]</f>
        <v>600</v>
      </c>
      <c r="C115" s="281"/>
      <c r="D115" s="282">
        <f ca="1">TblConstr[[#This Row],[Plain]]</f>
        <v>0</v>
      </c>
      <c r="E115" s="236">
        <f ca="1">TblConstr[[#This Row],[Forest]]</f>
        <v>0</v>
      </c>
      <c r="F115" s="478">
        <f ca="1">TblConstr[[#This Row],[Mountain]]</f>
        <v>0</v>
      </c>
      <c r="G115" s="482">
        <f ca="1">TblConstr[[#This Row],[Hill]]</f>
        <v>0</v>
      </c>
      <c r="H115" s="486">
        <f ca="1">TblConstr[[#This Row],[Swamp]]</f>
        <v>0</v>
      </c>
      <c r="I115" s="239">
        <f ca="1">TblConstr[[#This Row],[Cavern]]</f>
        <v>0</v>
      </c>
      <c r="J115" s="240">
        <f ca="1">TblConstr[[#This Row],[Water]]</f>
        <v>0</v>
      </c>
      <c r="K115" s="275"/>
      <c r="L115" s="275"/>
      <c r="M115" s="275"/>
      <c r="N115" s="283">
        <f ca="1">TblMili[[#This Row],[Smithies]]</f>
        <v>0.18</v>
      </c>
      <c r="O115" s="283">
        <f ca="1">TblPop[[#This Row],[Employment]]</f>
        <v>1</v>
      </c>
      <c r="P115" s="283">
        <f ca="1">TblImps[[#This Row],[Population]]</f>
        <v>1</v>
      </c>
      <c r="Q115" s="228">
        <f ca="1">TblExplore[[#This Row],[Land]]</f>
        <v>600</v>
      </c>
      <c r="R115" s="228">
        <f>TblExplore[[#This Row],[Hour]]</f>
        <v>112</v>
      </c>
      <c r="S115" s="284"/>
      <c r="T115" s="232"/>
      <c r="U115" s="232"/>
      <c r="V115" s="232"/>
      <c r="W115" s="232"/>
      <c r="X115" s="232"/>
      <c r="Y115" s="232"/>
      <c r="Z115" s="232"/>
      <c r="AA115" s="205">
        <f ca="1">TblImps[[#This Row],[Real time]]</f>
        <v>44409.374999999731</v>
      </c>
      <c r="AB115" s="113">
        <f ca="1">TblMili[[#This Row],[Draftees]]</f>
        <v>3098</v>
      </c>
      <c r="AC115" s="113">
        <f ca="1">TblProd[[#This Row],[Platinum]]</f>
        <v>1447043</v>
      </c>
      <c r="AD115" s="281"/>
      <c r="AE115" s="49">
        <f ca="1">TblExplore[[#This Row],[Land]]-TblExplore[[#This Row],[Land Bonus]]*20</f>
        <v>600</v>
      </c>
      <c r="AF115" s="113">
        <f ca="1">ROUND(IF(TblExplore[[#This Row],[Land-DB]] &gt;= 300, 1000 + 3*((TblExplore[[#This Row],[Land-DB]]-300)^(MAX(MIN(TblExplore[[#This Row],[Land-DB]]^0.0185/1.05,1.121),1.09))), 1000 - (3 * (300-TblExplore[[#This Row],[Land-DB]])))*(1+ tech_2_6*Techs!AC115 + tech_2_9*Techs!AF115 + tech_3_7*Techs!AN115 + Overview!$I$32),0)</f>
        <v>2504</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516</v>
      </c>
    </row>
    <row r="116" spans="1:36" s="49" customFormat="1" x14ac:dyDescent="0.2">
      <c r="A116" s="228">
        <f>TblRezone[[#This Row],[Hour]]</f>
        <v>113</v>
      </c>
      <c r="B116" s="280">
        <f ca="1">TblConstr[[#This Row],[Land]]</f>
        <v>600</v>
      </c>
      <c r="C116" s="281"/>
      <c r="D116" s="282">
        <f ca="1">TblConstr[[#This Row],[Plain]]</f>
        <v>0</v>
      </c>
      <c r="E116" s="236">
        <f ca="1">TblConstr[[#This Row],[Forest]]</f>
        <v>0</v>
      </c>
      <c r="F116" s="478">
        <f ca="1">TblConstr[[#This Row],[Mountain]]</f>
        <v>0</v>
      </c>
      <c r="G116" s="482">
        <f ca="1">TblConstr[[#This Row],[Hill]]</f>
        <v>0</v>
      </c>
      <c r="H116" s="486">
        <f ca="1">TblConstr[[#This Row],[Swamp]]</f>
        <v>0</v>
      </c>
      <c r="I116" s="239">
        <f ca="1">TblConstr[[#This Row],[Cavern]]</f>
        <v>0</v>
      </c>
      <c r="J116" s="240">
        <f ca="1">TblConstr[[#This Row],[Water]]</f>
        <v>0</v>
      </c>
      <c r="K116" s="275"/>
      <c r="L116" s="275"/>
      <c r="M116" s="275"/>
      <c r="N116" s="283">
        <f ca="1">TblMili[[#This Row],[Smithies]]</f>
        <v>0.18</v>
      </c>
      <c r="O116" s="283">
        <f ca="1">TblPop[[#This Row],[Employment]]</f>
        <v>1</v>
      </c>
      <c r="P116" s="283">
        <f ca="1">TblImps[[#This Row],[Population]]</f>
        <v>1</v>
      </c>
      <c r="Q116" s="228">
        <f ca="1">TblExplore[[#This Row],[Land]]</f>
        <v>600</v>
      </c>
      <c r="R116" s="228">
        <f>TblExplore[[#This Row],[Hour]]</f>
        <v>113</v>
      </c>
      <c r="S116" s="284"/>
      <c r="T116" s="232"/>
      <c r="U116" s="232"/>
      <c r="V116" s="232"/>
      <c r="W116" s="232"/>
      <c r="X116" s="232"/>
      <c r="Y116" s="232"/>
      <c r="Z116" s="232"/>
      <c r="AA116" s="205">
        <f ca="1">TblImps[[#This Row],[Real time]]</f>
        <v>44409.416666666395</v>
      </c>
      <c r="AB116" s="113">
        <f ca="1">TblMili[[#This Row],[Draftees]]</f>
        <v>3148</v>
      </c>
      <c r="AC116" s="113">
        <f ca="1">TblProd[[#This Row],[Platinum]]</f>
        <v>1472393</v>
      </c>
      <c r="AD116" s="281"/>
      <c r="AE116" s="49">
        <f ca="1">TblExplore[[#This Row],[Land]]-TblExplore[[#This Row],[Land Bonus]]*20</f>
        <v>600</v>
      </c>
      <c r="AF116" s="113">
        <f ca="1">ROUND(IF(TblExplore[[#This Row],[Land-DB]] &gt;= 300, 1000 + 3*((TblExplore[[#This Row],[Land-DB]]-300)^(MAX(MIN(TblExplore[[#This Row],[Land-DB]]^0.0185/1.05,1.121),1.09))), 1000 - (3 * (300-TblExplore[[#This Row],[Land-DB]])))*(1+ tech_2_6*Techs!AC116 + tech_2_9*Techs!AF116 + tech_3_7*Techs!AN116 + Overview!$I$32),0)</f>
        <v>2504</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524</v>
      </c>
    </row>
    <row r="117" spans="1:36" s="49" customFormat="1" x14ac:dyDescent="0.2">
      <c r="A117" s="228">
        <f>TblRezone[[#This Row],[Hour]]</f>
        <v>114</v>
      </c>
      <c r="B117" s="280">
        <f ca="1">TblConstr[[#This Row],[Land]]</f>
        <v>600</v>
      </c>
      <c r="C117" s="281"/>
      <c r="D117" s="282">
        <f ca="1">TblConstr[[#This Row],[Plain]]</f>
        <v>0</v>
      </c>
      <c r="E117" s="236">
        <f ca="1">TblConstr[[#This Row],[Forest]]</f>
        <v>0</v>
      </c>
      <c r="F117" s="478">
        <f ca="1">TblConstr[[#This Row],[Mountain]]</f>
        <v>0</v>
      </c>
      <c r="G117" s="482">
        <f ca="1">TblConstr[[#This Row],[Hill]]</f>
        <v>0</v>
      </c>
      <c r="H117" s="486">
        <f ca="1">TblConstr[[#This Row],[Swamp]]</f>
        <v>0</v>
      </c>
      <c r="I117" s="239">
        <f ca="1">TblConstr[[#This Row],[Cavern]]</f>
        <v>0</v>
      </c>
      <c r="J117" s="240">
        <f ca="1">TblConstr[[#This Row],[Water]]</f>
        <v>0</v>
      </c>
      <c r="K117" s="275"/>
      <c r="L117" s="275"/>
      <c r="M117" s="275"/>
      <c r="N117" s="283">
        <f ca="1">TblMili[[#This Row],[Smithies]]</f>
        <v>0.18</v>
      </c>
      <c r="O117" s="283">
        <f ca="1">TblPop[[#This Row],[Employment]]</f>
        <v>1</v>
      </c>
      <c r="P117" s="283">
        <f ca="1">TblImps[[#This Row],[Population]]</f>
        <v>1</v>
      </c>
      <c r="Q117" s="228">
        <f ca="1">TblExplore[[#This Row],[Land]]</f>
        <v>600</v>
      </c>
      <c r="R117" s="228">
        <f>TblExplore[[#This Row],[Hour]]</f>
        <v>114</v>
      </c>
      <c r="S117" s="284"/>
      <c r="T117" s="232"/>
      <c r="U117" s="232"/>
      <c r="V117" s="232"/>
      <c r="W117" s="232"/>
      <c r="X117" s="232"/>
      <c r="Y117" s="232"/>
      <c r="Z117" s="232"/>
      <c r="AA117" s="205">
        <f ca="1">TblImps[[#This Row],[Real time]]</f>
        <v>44409.458333333059</v>
      </c>
      <c r="AB117" s="113">
        <f ca="1">TblMili[[#This Row],[Draftees]]</f>
        <v>3197</v>
      </c>
      <c r="AC117" s="113">
        <f ca="1">TblProd[[#This Row],[Platinum]]</f>
        <v>1497608</v>
      </c>
      <c r="AD117" s="281"/>
      <c r="AE117" s="49">
        <f ca="1">TblExplore[[#This Row],[Land]]-TblExplore[[#This Row],[Land Bonus]]*20</f>
        <v>600</v>
      </c>
      <c r="AF117" s="113">
        <f ca="1">ROUND(IF(TblExplore[[#This Row],[Land-DB]] &gt;= 300, 1000 + 3*((TblExplore[[#This Row],[Land-DB]]-300)^(MAX(MIN(TblExplore[[#This Row],[Land-DB]]^0.0185/1.05,1.121),1.09))), 1000 - (3 * (300-TblExplore[[#This Row],[Land-DB]])))*(1+ tech_2_6*Techs!AC117 + tech_2_9*Techs!AF117 + tech_3_7*Techs!AN117 + Overview!$I$32),0)</f>
        <v>2504</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532</v>
      </c>
    </row>
    <row r="118" spans="1:36" s="49" customFormat="1" x14ac:dyDescent="0.2">
      <c r="A118" s="228">
        <f>TblRezone[[#This Row],[Hour]]</f>
        <v>115</v>
      </c>
      <c r="B118" s="280">
        <f ca="1">TblConstr[[#This Row],[Land]]</f>
        <v>600</v>
      </c>
      <c r="C118" s="281"/>
      <c r="D118" s="282">
        <f ca="1">TblConstr[[#This Row],[Plain]]</f>
        <v>0</v>
      </c>
      <c r="E118" s="236">
        <f ca="1">TblConstr[[#This Row],[Forest]]</f>
        <v>0</v>
      </c>
      <c r="F118" s="478">
        <f ca="1">TblConstr[[#This Row],[Mountain]]</f>
        <v>0</v>
      </c>
      <c r="G118" s="482">
        <f ca="1">TblConstr[[#This Row],[Hill]]</f>
        <v>0</v>
      </c>
      <c r="H118" s="486">
        <f ca="1">TblConstr[[#This Row],[Swamp]]</f>
        <v>0</v>
      </c>
      <c r="I118" s="239">
        <f ca="1">TblConstr[[#This Row],[Cavern]]</f>
        <v>0</v>
      </c>
      <c r="J118" s="240">
        <f ca="1">TblConstr[[#This Row],[Water]]</f>
        <v>0</v>
      </c>
      <c r="K118" s="275"/>
      <c r="L118" s="275"/>
      <c r="M118" s="275"/>
      <c r="N118" s="283">
        <f ca="1">TblMili[[#This Row],[Smithies]]</f>
        <v>0.18</v>
      </c>
      <c r="O118" s="283">
        <f ca="1">TblPop[[#This Row],[Employment]]</f>
        <v>1</v>
      </c>
      <c r="P118" s="283">
        <f ca="1">TblImps[[#This Row],[Population]]</f>
        <v>1</v>
      </c>
      <c r="Q118" s="228">
        <f ca="1">TblExplore[[#This Row],[Land]]</f>
        <v>600</v>
      </c>
      <c r="R118" s="228">
        <f>TblExplore[[#This Row],[Hour]]</f>
        <v>115</v>
      </c>
      <c r="S118" s="284"/>
      <c r="T118" s="232"/>
      <c r="U118" s="232"/>
      <c r="V118" s="232"/>
      <c r="W118" s="232"/>
      <c r="X118" s="232"/>
      <c r="Y118" s="232"/>
      <c r="Z118" s="232"/>
      <c r="AA118" s="205">
        <f ca="1">TblImps[[#This Row],[Real time]]</f>
        <v>44409.499999999724</v>
      </c>
      <c r="AB118" s="113">
        <f ca="1">TblMili[[#This Row],[Draftees]]</f>
        <v>3246</v>
      </c>
      <c r="AC118" s="113">
        <f ca="1">TblProd[[#This Row],[Platinum]]</f>
        <v>1522691</v>
      </c>
      <c r="AD118" s="281"/>
      <c r="AE118" s="49">
        <f ca="1">TblExplore[[#This Row],[Land]]-TblExplore[[#This Row],[Land Bonus]]*20</f>
        <v>600</v>
      </c>
      <c r="AF118" s="113">
        <f ca="1">ROUND(IF(TblExplore[[#This Row],[Land-DB]] &gt;= 300, 1000 + 3*((TblExplore[[#This Row],[Land-DB]]-300)^(MAX(MIN(TblExplore[[#This Row],[Land-DB]]^0.0185/1.05,1.121),1.09))), 1000 - (3 * (300-TblExplore[[#This Row],[Land-DB]])))*(1+ tech_2_6*Techs!AC118 + tech_2_9*Techs!AF118 + tech_3_7*Techs!AN118 + Overview!$I$32),0)</f>
        <v>2504</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541</v>
      </c>
    </row>
    <row r="119" spans="1:36" s="49" customFormat="1" x14ac:dyDescent="0.2">
      <c r="A119" s="228">
        <f>TblRezone[[#This Row],[Hour]]</f>
        <v>116</v>
      </c>
      <c r="B119" s="280">
        <f ca="1">TblConstr[[#This Row],[Land]]</f>
        <v>600</v>
      </c>
      <c r="C119" s="281"/>
      <c r="D119" s="282">
        <f ca="1">TblConstr[[#This Row],[Plain]]</f>
        <v>0</v>
      </c>
      <c r="E119" s="236">
        <f ca="1">TblConstr[[#This Row],[Forest]]</f>
        <v>0</v>
      </c>
      <c r="F119" s="478">
        <f ca="1">TblConstr[[#This Row],[Mountain]]</f>
        <v>0</v>
      </c>
      <c r="G119" s="482">
        <f ca="1">TblConstr[[#This Row],[Hill]]</f>
        <v>0</v>
      </c>
      <c r="H119" s="486">
        <f ca="1">TblConstr[[#This Row],[Swamp]]</f>
        <v>0</v>
      </c>
      <c r="I119" s="239">
        <f ca="1">TblConstr[[#This Row],[Cavern]]</f>
        <v>0</v>
      </c>
      <c r="J119" s="240">
        <f ca="1">TblConstr[[#This Row],[Water]]</f>
        <v>0</v>
      </c>
      <c r="K119" s="275"/>
      <c r="L119" s="275"/>
      <c r="M119" s="275"/>
      <c r="N119" s="283">
        <f ca="1">TblMili[[#This Row],[Smithies]]</f>
        <v>0.18</v>
      </c>
      <c r="O119" s="283">
        <f ca="1">TblPop[[#This Row],[Employment]]</f>
        <v>1</v>
      </c>
      <c r="P119" s="283">
        <f ca="1">TblImps[[#This Row],[Population]]</f>
        <v>1</v>
      </c>
      <c r="Q119" s="228">
        <f ca="1">TblExplore[[#This Row],[Land]]</f>
        <v>600</v>
      </c>
      <c r="R119" s="228">
        <f>TblExplore[[#This Row],[Hour]]</f>
        <v>116</v>
      </c>
      <c r="S119" s="284"/>
      <c r="T119" s="232"/>
      <c r="U119" s="232"/>
      <c r="V119" s="232"/>
      <c r="W119" s="232"/>
      <c r="X119" s="232"/>
      <c r="Y119" s="232"/>
      <c r="Z119" s="232"/>
      <c r="AA119" s="205">
        <f ca="1">TblImps[[#This Row],[Real time]]</f>
        <v>44409.541666666388</v>
      </c>
      <c r="AB119" s="113">
        <f ca="1">TblMili[[#This Row],[Draftees]]</f>
        <v>3294</v>
      </c>
      <c r="AC119" s="113">
        <f ca="1">TblProd[[#This Row],[Platinum]]</f>
        <v>1547641</v>
      </c>
      <c r="AD119" s="281"/>
      <c r="AE119" s="49">
        <f ca="1">TblExplore[[#This Row],[Land]]-TblExplore[[#This Row],[Land Bonus]]*20</f>
        <v>600</v>
      </c>
      <c r="AF119" s="113">
        <f ca="1">ROUND(IF(TblExplore[[#This Row],[Land-DB]] &gt;= 300, 1000 + 3*((TblExplore[[#This Row],[Land-DB]]-300)^(MAX(MIN(TblExplore[[#This Row],[Land-DB]]^0.0185/1.05,1.121),1.09))), 1000 - (3 * (300-TblExplore[[#This Row],[Land-DB]])))*(1+ tech_2_6*Techs!AC119 + tech_2_9*Techs!AF119 + tech_3_7*Techs!AN119 + Overview!$I$32),0)</f>
        <v>2504</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549</v>
      </c>
    </row>
    <row r="120" spans="1:36" s="49" customFormat="1" x14ac:dyDescent="0.2">
      <c r="A120" s="228">
        <f>TblRezone[[#This Row],[Hour]]</f>
        <v>117</v>
      </c>
      <c r="B120" s="280">
        <f ca="1">TblConstr[[#This Row],[Land]]</f>
        <v>600</v>
      </c>
      <c r="C120" s="281"/>
      <c r="D120" s="282">
        <f ca="1">TblConstr[[#This Row],[Plain]]</f>
        <v>0</v>
      </c>
      <c r="E120" s="236">
        <f ca="1">TblConstr[[#This Row],[Forest]]</f>
        <v>0</v>
      </c>
      <c r="F120" s="478">
        <f ca="1">TblConstr[[#This Row],[Mountain]]</f>
        <v>0</v>
      </c>
      <c r="G120" s="482">
        <f ca="1">TblConstr[[#This Row],[Hill]]</f>
        <v>0</v>
      </c>
      <c r="H120" s="486">
        <f ca="1">TblConstr[[#This Row],[Swamp]]</f>
        <v>0</v>
      </c>
      <c r="I120" s="239">
        <f ca="1">TblConstr[[#This Row],[Cavern]]</f>
        <v>0</v>
      </c>
      <c r="J120" s="240">
        <f ca="1">TblConstr[[#This Row],[Water]]</f>
        <v>0</v>
      </c>
      <c r="K120" s="275"/>
      <c r="L120" s="275"/>
      <c r="M120" s="275"/>
      <c r="N120" s="283">
        <f ca="1">TblMili[[#This Row],[Smithies]]</f>
        <v>0.18</v>
      </c>
      <c r="O120" s="283">
        <f ca="1">TblPop[[#This Row],[Employment]]</f>
        <v>1</v>
      </c>
      <c r="P120" s="283">
        <f ca="1">TblImps[[#This Row],[Population]]</f>
        <v>1</v>
      </c>
      <c r="Q120" s="228">
        <f ca="1">TblExplore[[#This Row],[Land]]</f>
        <v>600</v>
      </c>
      <c r="R120" s="228">
        <f>TblExplore[[#This Row],[Hour]]</f>
        <v>117</v>
      </c>
      <c r="S120" s="284"/>
      <c r="T120" s="232"/>
      <c r="U120" s="232"/>
      <c r="V120" s="232"/>
      <c r="W120" s="232"/>
      <c r="X120" s="232"/>
      <c r="Y120" s="232"/>
      <c r="Z120" s="232"/>
      <c r="AA120" s="205">
        <f ca="1">TblImps[[#This Row],[Real time]]</f>
        <v>44409.583333333052</v>
      </c>
      <c r="AB120" s="113">
        <f ca="1">TblMili[[#This Row],[Draftees]]</f>
        <v>3342</v>
      </c>
      <c r="AC120" s="113">
        <f ca="1">TblProd[[#This Row],[Platinum]]</f>
        <v>1572462</v>
      </c>
      <c r="AD120" s="281"/>
      <c r="AE120" s="49">
        <f ca="1">TblExplore[[#This Row],[Land]]-TblExplore[[#This Row],[Land Bonus]]*20</f>
        <v>600</v>
      </c>
      <c r="AF120" s="113">
        <f ca="1">ROUND(IF(TblExplore[[#This Row],[Land-DB]] &gt;= 300, 1000 + 3*((TblExplore[[#This Row],[Land-DB]]-300)^(MAX(MIN(TblExplore[[#This Row],[Land-DB]]^0.0185/1.05,1.121),1.09))), 1000 - (3 * (300-TblExplore[[#This Row],[Land-DB]])))*(1+ tech_2_6*Techs!AC120 + tech_2_9*Techs!AF120 + tech_3_7*Techs!AN120 + Overview!$I$32),0)</f>
        <v>2504</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557</v>
      </c>
    </row>
    <row r="121" spans="1:36" s="49" customFormat="1" x14ac:dyDescent="0.2">
      <c r="A121" s="228">
        <f>TblRezone[[#This Row],[Hour]]</f>
        <v>118</v>
      </c>
      <c r="B121" s="280">
        <f ca="1">TblConstr[[#This Row],[Land]]</f>
        <v>600</v>
      </c>
      <c r="C121" s="281"/>
      <c r="D121" s="282">
        <f ca="1">TblConstr[[#This Row],[Plain]]</f>
        <v>0</v>
      </c>
      <c r="E121" s="236">
        <f ca="1">TblConstr[[#This Row],[Forest]]</f>
        <v>0</v>
      </c>
      <c r="F121" s="478">
        <f ca="1">TblConstr[[#This Row],[Mountain]]</f>
        <v>0</v>
      </c>
      <c r="G121" s="482">
        <f ca="1">TblConstr[[#This Row],[Hill]]</f>
        <v>0</v>
      </c>
      <c r="H121" s="486">
        <f ca="1">TblConstr[[#This Row],[Swamp]]</f>
        <v>0</v>
      </c>
      <c r="I121" s="239">
        <f ca="1">TblConstr[[#This Row],[Cavern]]</f>
        <v>0</v>
      </c>
      <c r="J121" s="240">
        <f ca="1">TblConstr[[#This Row],[Water]]</f>
        <v>0</v>
      </c>
      <c r="K121" s="275"/>
      <c r="L121" s="275"/>
      <c r="M121" s="275"/>
      <c r="N121" s="283">
        <f ca="1">TblMili[[#This Row],[Smithies]]</f>
        <v>0.18</v>
      </c>
      <c r="O121" s="283">
        <f ca="1">TblPop[[#This Row],[Employment]]</f>
        <v>1</v>
      </c>
      <c r="P121" s="283">
        <f ca="1">TblImps[[#This Row],[Population]]</f>
        <v>1</v>
      </c>
      <c r="Q121" s="228">
        <f ca="1">TblExplore[[#This Row],[Land]]</f>
        <v>600</v>
      </c>
      <c r="R121" s="228">
        <f>TblExplore[[#This Row],[Hour]]</f>
        <v>118</v>
      </c>
      <c r="S121" s="284"/>
      <c r="T121" s="232"/>
      <c r="U121" s="232"/>
      <c r="V121" s="232"/>
      <c r="W121" s="232"/>
      <c r="X121" s="232"/>
      <c r="Y121" s="232"/>
      <c r="Z121" s="232"/>
      <c r="AA121" s="205">
        <f ca="1">TblImps[[#This Row],[Real time]]</f>
        <v>44409.624999999716</v>
      </c>
      <c r="AB121" s="113">
        <f ca="1">TblMili[[#This Row],[Draftees]]</f>
        <v>3389</v>
      </c>
      <c r="AC121" s="113">
        <f ca="1">TblProd[[#This Row],[Platinum]]</f>
        <v>1597153</v>
      </c>
      <c r="AD121" s="281"/>
      <c r="AE121" s="49">
        <f ca="1">TblExplore[[#This Row],[Land]]-TblExplore[[#This Row],[Land Bonus]]*20</f>
        <v>600</v>
      </c>
      <c r="AF121" s="113">
        <f ca="1">ROUND(IF(TblExplore[[#This Row],[Land-DB]] &gt;= 300, 1000 + 3*((TblExplore[[#This Row],[Land-DB]]-300)^(MAX(MIN(TblExplore[[#This Row],[Land-DB]]^0.0185/1.05,1.121),1.09))), 1000 - (3 * (300-TblExplore[[#This Row],[Land-DB]])))*(1+ tech_2_6*Techs!AC121 + tech_2_9*Techs!AF121 + tech_3_7*Techs!AN121 + Overview!$I$32),0)</f>
        <v>2504</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564</v>
      </c>
    </row>
    <row r="122" spans="1:36" s="49" customFormat="1" x14ac:dyDescent="0.2">
      <c r="A122" s="228">
        <f>TblRezone[[#This Row],[Hour]]</f>
        <v>119</v>
      </c>
      <c r="B122" s="280">
        <f ca="1">TblConstr[[#This Row],[Land]]</f>
        <v>600</v>
      </c>
      <c r="C122" s="281"/>
      <c r="D122" s="282">
        <f ca="1">TblConstr[[#This Row],[Plain]]</f>
        <v>0</v>
      </c>
      <c r="E122" s="236">
        <f ca="1">TblConstr[[#This Row],[Forest]]</f>
        <v>0</v>
      </c>
      <c r="F122" s="478">
        <f ca="1">TblConstr[[#This Row],[Mountain]]</f>
        <v>0</v>
      </c>
      <c r="G122" s="482">
        <f ca="1">TblConstr[[#This Row],[Hill]]</f>
        <v>0</v>
      </c>
      <c r="H122" s="486">
        <f ca="1">TblConstr[[#This Row],[Swamp]]</f>
        <v>0</v>
      </c>
      <c r="I122" s="239">
        <f ca="1">TblConstr[[#This Row],[Cavern]]</f>
        <v>0</v>
      </c>
      <c r="J122" s="240">
        <f ca="1">TblConstr[[#This Row],[Water]]</f>
        <v>0</v>
      </c>
      <c r="K122" s="275"/>
      <c r="L122" s="275"/>
      <c r="M122" s="275"/>
      <c r="N122" s="283">
        <f ca="1">TblMili[[#This Row],[Smithies]]</f>
        <v>0.18</v>
      </c>
      <c r="O122" s="283">
        <f ca="1">TblPop[[#This Row],[Employment]]</f>
        <v>1</v>
      </c>
      <c r="P122" s="283">
        <f ca="1">TblImps[[#This Row],[Population]]</f>
        <v>1</v>
      </c>
      <c r="Q122" s="228">
        <f ca="1">TblExplore[[#This Row],[Land]]</f>
        <v>600</v>
      </c>
      <c r="R122" s="228">
        <f>TblExplore[[#This Row],[Hour]]</f>
        <v>119</v>
      </c>
      <c r="S122" s="284"/>
      <c r="T122" s="232"/>
      <c r="U122" s="232"/>
      <c r="V122" s="232"/>
      <c r="W122" s="232"/>
      <c r="X122" s="232"/>
      <c r="Y122" s="232"/>
      <c r="Z122" s="232"/>
      <c r="AA122" s="205">
        <f ca="1">TblImps[[#This Row],[Real time]]</f>
        <v>44409.66666666638</v>
      </c>
      <c r="AB122" s="113">
        <f ca="1">TblMili[[#This Row],[Draftees]]</f>
        <v>3436</v>
      </c>
      <c r="AC122" s="113">
        <f ca="1">TblProd[[#This Row],[Platinum]]</f>
        <v>1621717</v>
      </c>
      <c r="AD122" s="281"/>
      <c r="AE122" s="49">
        <f ca="1">TblExplore[[#This Row],[Land]]-TblExplore[[#This Row],[Land Bonus]]*20</f>
        <v>600</v>
      </c>
      <c r="AF122" s="113">
        <f ca="1">ROUND(IF(TblExplore[[#This Row],[Land-DB]] &gt;= 300, 1000 + 3*((TblExplore[[#This Row],[Land-DB]]-300)^(MAX(MIN(TblExplore[[#This Row],[Land-DB]]^0.0185/1.05,1.121),1.09))), 1000 - (3 * (300-TblExplore[[#This Row],[Land-DB]])))*(1+ tech_2_6*Techs!AC122 + tech_2_9*Techs!AF122 + tech_3_7*Techs!AN122 + Overview!$I$32),0)</f>
        <v>2504</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572</v>
      </c>
    </row>
    <row r="123" spans="1:36" s="49" customFormat="1" x14ac:dyDescent="0.2">
      <c r="A123" s="228">
        <f>TblRezone[[#This Row],[Hour]]</f>
        <v>120</v>
      </c>
      <c r="B123" s="280">
        <f ca="1">TblConstr[[#This Row],[Land]]</f>
        <v>600</v>
      </c>
      <c r="C123" s="281"/>
      <c r="D123" s="282">
        <f ca="1">TblConstr[[#This Row],[Plain]]</f>
        <v>0</v>
      </c>
      <c r="E123" s="236">
        <f ca="1">TblConstr[[#This Row],[Forest]]</f>
        <v>0</v>
      </c>
      <c r="F123" s="478">
        <f ca="1">TblConstr[[#This Row],[Mountain]]</f>
        <v>0</v>
      </c>
      <c r="G123" s="482">
        <f ca="1">TblConstr[[#This Row],[Hill]]</f>
        <v>0</v>
      </c>
      <c r="H123" s="486">
        <f ca="1">TblConstr[[#This Row],[Swamp]]</f>
        <v>0</v>
      </c>
      <c r="I123" s="239">
        <f ca="1">TblConstr[[#This Row],[Cavern]]</f>
        <v>0</v>
      </c>
      <c r="J123" s="240">
        <f ca="1">TblConstr[[#This Row],[Water]]</f>
        <v>0</v>
      </c>
      <c r="K123" s="275"/>
      <c r="L123" s="275"/>
      <c r="M123" s="275"/>
      <c r="N123" s="283">
        <f ca="1">TblMili[[#This Row],[Smithies]]</f>
        <v>0.18</v>
      </c>
      <c r="O123" s="283">
        <f ca="1">TblPop[[#This Row],[Employment]]</f>
        <v>1</v>
      </c>
      <c r="P123" s="283">
        <f ca="1">TblImps[[#This Row],[Population]]</f>
        <v>1</v>
      </c>
      <c r="Q123" s="228">
        <f ca="1">TblExplore[[#This Row],[Land]]</f>
        <v>600</v>
      </c>
      <c r="R123" s="228">
        <f>TblExplore[[#This Row],[Hour]]</f>
        <v>120</v>
      </c>
      <c r="S123" s="284"/>
      <c r="T123" s="232"/>
      <c r="U123" s="232"/>
      <c r="V123" s="232"/>
      <c r="W123" s="232"/>
      <c r="X123" s="232"/>
      <c r="Y123" s="232"/>
      <c r="Z123" s="232"/>
      <c r="AA123" s="205">
        <f ca="1">TblImps[[#This Row],[Real time]]</f>
        <v>44409.708333333045</v>
      </c>
      <c r="AB123" s="113">
        <f ca="1">TblMili[[#This Row],[Draftees]]</f>
        <v>3483</v>
      </c>
      <c r="AC123" s="113">
        <f ca="1">TblProd[[#This Row],[Platinum]]</f>
        <v>1646154</v>
      </c>
      <c r="AD123" s="281"/>
      <c r="AE123" s="49">
        <f ca="1">TblExplore[[#This Row],[Land]]-TblExplore[[#This Row],[Land Bonus]]*20</f>
        <v>600</v>
      </c>
      <c r="AF123" s="113">
        <f ca="1">ROUND(IF(TblExplore[[#This Row],[Land-DB]] &gt;= 300, 1000 + 3*((TblExplore[[#This Row],[Land-DB]]-300)^(MAX(MIN(TblExplore[[#This Row],[Land-DB]]^0.0185/1.05,1.121),1.09))), 1000 - (3 * (300-TblExplore[[#This Row],[Land-DB]])))*(1+ tech_2_6*Techs!AC123 + tech_2_9*Techs!AF123 + tech_3_7*Techs!AN123 + Overview!$I$32),0)</f>
        <v>2504</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580</v>
      </c>
    </row>
    <row r="124" spans="1:36" s="49" customFormat="1" x14ac:dyDescent="0.2">
      <c r="A124" s="228">
        <f>TblRezone[[#This Row],[Hour]]</f>
        <v>121</v>
      </c>
      <c r="B124" s="280">
        <f ca="1">TblConstr[[#This Row],[Land]]</f>
        <v>600</v>
      </c>
      <c r="C124" s="281"/>
      <c r="D124" s="282">
        <f ca="1">TblConstr[[#This Row],[Plain]]</f>
        <v>0</v>
      </c>
      <c r="E124" s="236">
        <f ca="1">TblConstr[[#This Row],[Forest]]</f>
        <v>0</v>
      </c>
      <c r="F124" s="478">
        <f ca="1">TblConstr[[#This Row],[Mountain]]</f>
        <v>0</v>
      </c>
      <c r="G124" s="482">
        <f ca="1">TblConstr[[#This Row],[Hill]]</f>
        <v>0</v>
      </c>
      <c r="H124" s="486">
        <f ca="1">TblConstr[[#This Row],[Swamp]]</f>
        <v>0</v>
      </c>
      <c r="I124" s="239">
        <f ca="1">TblConstr[[#This Row],[Cavern]]</f>
        <v>0</v>
      </c>
      <c r="J124" s="240">
        <f ca="1">TblConstr[[#This Row],[Water]]</f>
        <v>0</v>
      </c>
      <c r="K124" s="275"/>
      <c r="L124" s="296" t="s">
        <v>311</v>
      </c>
      <c r="M124" s="295" t="s">
        <v>314</v>
      </c>
      <c r="N124" s="283">
        <f ca="1">TblMili[[#This Row],[Smithies]]</f>
        <v>0.18</v>
      </c>
      <c r="O124" s="283">
        <f ca="1">TblPop[[#This Row],[Employment]]</f>
        <v>1</v>
      </c>
      <c r="P124" s="283">
        <f ca="1">TblImps[[#This Row],[Population]]</f>
        <v>1</v>
      </c>
      <c r="Q124" s="228">
        <f ca="1">TblExplore[[#This Row],[Land]]</f>
        <v>600</v>
      </c>
      <c r="R124" s="228">
        <f>TblExplore[[#This Row],[Hour]]</f>
        <v>121</v>
      </c>
      <c r="S124" s="284"/>
      <c r="T124" s="232"/>
      <c r="U124" s="232"/>
      <c r="V124" s="232"/>
      <c r="W124" s="232"/>
      <c r="X124" s="232"/>
      <c r="Y124" s="232"/>
      <c r="Z124" s="232"/>
      <c r="AA124" s="205">
        <f ca="1">TblImps[[#This Row],[Real time]]</f>
        <v>44409.749999999709</v>
      </c>
      <c r="AB124" s="113">
        <f ca="1">TblMili[[#This Row],[Draftees]]</f>
        <v>3529</v>
      </c>
      <c r="AC124" s="113">
        <f ca="1">TblProd[[#This Row],[Platinum]]</f>
        <v>1670464</v>
      </c>
      <c r="AD124" s="281"/>
      <c r="AE124" s="49">
        <f ca="1">TblExplore[[#This Row],[Land]]-TblExplore[[#This Row],[Land Bonus]]*20</f>
        <v>600</v>
      </c>
      <c r="AF124" s="113">
        <f ca="1">ROUND(IF(TblExplore[[#This Row],[Land-DB]] &gt;= 300, 1000 + 3*((TblExplore[[#This Row],[Land-DB]]-300)^(MAX(MIN(TblExplore[[#This Row],[Land-DB]]^0.0185/1.05,1.121),1.09))), 1000 - (3 * (300-TblExplore[[#This Row],[Land-DB]])))*(1+ tech_2_6*Techs!AC124 + tech_2_9*Techs!AF124 + tech_3_7*Techs!AN124 + Overview!$I$32),0)</f>
        <v>2504</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588</v>
      </c>
    </row>
    <row r="125" spans="1:36" s="49" customFormat="1" x14ac:dyDescent="0.2">
      <c r="A125" s="228">
        <f>TblRezone[[#This Row],[Hour]]</f>
        <v>122</v>
      </c>
      <c r="B125" s="280">
        <f ca="1">TblConstr[[#This Row],[Land]]</f>
        <v>600</v>
      </c>
      <c r="C125" s="281"/>
      <c r="D125" s="282">
        <f ca="1">TblConstr[[#This Row],[Plain]]</f>
        <v>0</v>
      </c>
      <c r="E125" s="236">
        <f ca="1">TblConstr[[#This Row],[Forest]]</f>
        <v>0</v>
      </c>
      <c r="F125" s="478">
        <f ca="1">TblConstr[[#This Row],[Mountain]]</f>
        <v>0</v>
      </c>
      <c r="G125" s="482">
        <f ca="1">TblConstr[[#This Row],[Hill]]</f>
        <v>0</v>
      </c>
      <c r="H125" s="486">
        <f ca="1">TblConstr[[#This Row],[Swamp]]</f>
        <v>0</v>
      </c>
      <c r="I125" s="239">
        <f ca="1">TblConstr[[#This Row],[Cavern]]</f>
        <v>0</v>
      </c>
      <c r="J125" s="240">
        <f ca="1">TblConstr[[#This Row],[Water]]</f>
        <v>0</v>
      </c>
      <c r="K125" s="275"/>
      <c r="L125" s="296"/>
      <c r="M125" s="295"/>
      <c r="N125" s="283">
        <f ca="1">TblMili[[#This Row],[Smithies]]</f>
        <v>0.18</v>
      </c>
      <c r="O125" s="283">
        <f ca="1">TblPop[[#This Row],[Employment]]</f>
        <v>1</v>
      </c>
      <c r="P125" s="283">
        <f ca="1">TblImps[[#This Row],[Population]]</f>
        <v>1</v>
      </c>
      <c r="Q125" s="228">
        <f ca="1">TblExplore[[#This Row],[Land]]</f>
        <v>600</v>
      </c>
      <c r="R125" s="228">
        <f>TblExplore[[#This Row],[Hour]]</f>
        <v>122</v>
      </c>
      <c r="S125" s="284"/>
      <c r="T125" s="232"/>
      <c r="U125" s="232"/>
      <c r="V125" s="232"/>
      <c r="W125" s="232"/>
      <c r="X125" s="232"/>
      <c r="Y125" s="232"/>
      <c r="Z125" s="232"/>
      <c r="AA125" s="205">
        <f ca="1">TblImps[[#This Row],[Real time]]</f>
        <v>44409.791666666373</v>
      </c>
      <c r="AB125" s="113">
        <f ca="1">TblMili[[#This Row],[Draftees]]</f>
        <v>3575</v>
      </c>
      <c r="AC125" s="113">
        <f ca="1">TblProd[[#This Row],[Platinum]]</f>
        <v>1694650</v>
      </c>
      <c r="AD125" s="281"/>
      <c r="AE125" s="49">
        <f ca="1">TblExplore[[#This Row],[Land]]-TblExplore[[#This Row],[Land Bonus]]*20</f>
        <v>600</v>
      </c>
      <c r="AF125" s="113">
        <f ca="1">ROUND(IF(TblExplore[[#This Row],[Land-DB]] &gt;= 300, 1000 + 3*((TblExplore[[#This Row],[Land-DB]]-300)^(MAX(MIN(TblExplore[[#This Row],[Land-DB]]^0.0185/1.05,1.121),1.09))), 1000 - (3 * (300-TblExplore[[#This Row],[Land-DB]])))*(1+ tech_2_6*Techs!AC125 + tech_2_9*Techs!AF125 + tech_3_7*Techs!AN125 + Overview!$I$32),0)</f>
        <v>2504</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595</v>
      </c>
    </row>
    <row r="126" spans="1:36" s="49" customFormat="1" x14ac:dyDescent="0.2">
      <c r="A126" s="228">
        <f>TblRezone[[#This Row],[Hour]]</f>
        <v>123</v>
      </c>
      <c r="B126" s="280">
        <f ca="1">TblConstr[[#This Row],[Land]]</f>
        <v>600</v>
      </c>
      <c r="C126" s="281"/>
      <c r="D126" s="282">
        <f ca="1">TblConstr[[#This Row],[Plain]]</f>
        <v>0</v>
      </c>
      <c r="E126" s="236">
        <f ca="1">TblConstr[[#This Row],[Forest]]</f>
        <v>0</v>
      </c>
      <c r="F126" s="478">
        <f ca="1">TblConstr[[#This Row],[Mountain]]</f>
        <v>0</v>
      </c>
      <c r="G126" s="482">
        <f ca="1">TblConstr[[#This Row],[Hill]]</f>
        <v>0</v>
      </c>
      <c r="H126" s="486">
        <f ca="1">TblConstr[[#This Row],[Swamp]]</f>
        <v>0</v>
      </c>
      <c r="I126" s="239">
        <f ca="1">TblConstr[[#This Row],[Cavern]]</f>
        <v>0</v>
      </c>
      <c r="J126" s="240">
        <f ca="1">TblConstr[[#This Row],[Water]]</f>
        <v>0</v>
      </c>
      <c r="K126" s="275"/>
      <c r="L126" s="296"/>
      <c r="M126" s="295"/>
      <c r="N126" s="283">
        <f ca="1">TblMili[[#This Row],[Smithies]]</f>
        <v>0.18</v>
      </c>
      <c r="O126" s="283">
        <f ca="1">TblPop[[#This Row],[Employment]]</f>
        <v>1</v>
      </c>
      <c r="P126" s="283">
        <f ca="1">TblImps[[#This Row],[Population]]</f>
        <v>1</v>
      </c>
      <c r="Q126" s="228">
        <f ca="1">TblExplore[[#This Row],[Land]]</f>
        <v>600</v>
      </c>
      <c r="R126" s="228">
        <f>TblExplore[[#This Row],[Hour]]</f>
        <v>123</v>
      </c>
      <c r="S126" s="284"/>
      <c r="T126" s="232"/>
      <c r="U126" s="232"/>
      <c r="V126" s="232"/>
      <c r="W126" s="232"/>
      <c r="X126" s="232"/>
      <c r="Y126" s="232"/>
      <c r="Z126" s="232"/>
      <c r="AA126" s="205">
        <f ca="1">TblImps[[#This Row],[Real time]]</f>
        <v>44409.833333333037</v>
      </c>
      <c r="AB126" s="113">
        <f ca="1">TblMili[[#This Row],[Draftees]]</f>
        <v>3620</v>
      </c>
      <c r="AC126" s="113">
        <f ca="1">TblProd[[#This Row],[Platinum]]</f>
        <v>1718712</v>
      </c>
      <c r="AD126" s="281"/>
      <c r="AE126" s="49">
        <f ca="1">TblExplore[[#This Row],[Land]]-TblExplore[[#This Row],[Land Bonus]]*20</f>
        <v>600</v>
      </c>
      <c r="AF126" s="113">
        <f ca="1">ROUND(IF(TblExplore[[#This Row],[Land-DB]] &gt;= 300, 1000 + 3*((TblExplore[[#This Row],[Land-DB]]-300)^(MAX(MIN(TblExplore[[#This Row],[Land-DB]]^0.0185/1.05,1.121),1.09))), 1000 - (3 * (300-TblExplore[[#This Row],[Land-DB]])))*(1+ tech_2_6*Techs!AC126 + tech_2_9*Techs!AF126 + tech_3_7*Techs!AN126 + Overview!$I$32),0)</f>
        <v>2504</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603</v>
      </c>
    </row>
    <row r="127" spans="1:36" s="49" customFormat="1" x14ac:dyDescent="0.2">
      <c r="A127" s="228">
        <f>TblRezone[[#This Row],[Hour]]</f>
        <v>124</v>
      </c>
      <c r="B127" s="280">
        <f ca="1">TblConstr[[#This Row],[Land]]</f>
        <v>600</v>
      </c>
      <c r="C127" s="281"/>
      <c r="D127" s="282">
        <f ca="1">TblConstr[[#This Row],[Plain]]</f>
        <v>0</v>
      </c>
      <c r="E127" s="236">
        <f ca="1">TblConstr[[#This Row],[Forest]]</f>
        <v>0</v>
      </c>
      <c r="F127" s="478">
        <f ca="1">TblConstr[[#This Row],[Mountain]]</f>
        <v>0</v>
      </c>
      <c r="G127" s="482">
        <f ca="1">TblConstr[[#This Row],[Hill]]</f>
        <v>0</v>
      </c>
      <c r="H127" s="486">
        <f ca="1">TblConstr[[#This Row],[Swamp]]</f>
        <v>0</v>
      </c>
      <c r="I127" s="239">
        <f ca="1">TblConstr[[#This Row],[Cavern]]</f>
        <v>0</v>
      </c>
      <c r="J127" s="240">
        <f ca="1">TblConstr[[#This Row],[Water]]</f>
        <v>0</v>
      </c>
      <c r="K127" s="275"/>
      <c r="L127" s="275">
        <v>4</v>
      </c>
      <c r="M127" s="275">
        <v>299</v>
      </c>
      <c r="N127" s="283">
        <f ca="1">TblMili[[#This Row],[Smithies]]</f>
        <v>0.18</v>
      </c>
      <c r="O127" s="283">
        <f ca="1">TblPop[[#This Row],[Employment]]</f>
        <v>1</v>
      </c>
      <c r="P127" s="283">
        <f ca="1">TblImps[[#This Row],[Population]]</f>
        <v>1</v>
      </c>
      <c r="Q127" s="228">
        <f ca="1">TblExplore[[#This Row],[Land]]</f>
        <v>600</v>
      </c>
      <c r="R127" s="228">
        <f>TblExplore[[#This Row],[Hour]]</f>
        <v>124</v>
      </c>
      <c r="S127" s="284"/>
      <c r="T127" s="232"/>
      <c r="U127" s="232"/>
      <c r="V127" s="232"/>
      <c r="W127" s="232"/>
      <c r="X127" s="232"/>
      <c r="Y127" s="232"/>
      <c r="Z127" s="232"/>
      <c r="AA127" s="205">
        <f ca="1">TblImps[[#This Row],[Real time]]</f>
        <v>44409.874999999702</v>
      </c>
      <c r="AB127" s="113">
        <f ca="1">TblMili[[#This Row],[Draftees]]</f>
        <v>3665</v>
      </c>
      <c r="AC127" s="113">
        <f ca="1">TblProd[[#This Row],[Platinum]]</f>
        <v>1742652</v>
      </c>
      <c r="AD127" s="281"/>
      <c r="AE127" s="49">
        <f ca="1">TblExplore[[#This Row],[Land]]-TblExplore[[#This Row],[Land Bonus]]*20</f>
        <v>600</v>
      </c>
      <c r="AF127" s="113">
        <f ca="1">ROUND(IF(TblExplore[[#This Row],[Land-DB]] &gt;= 300, 1000 + 3*((TblExplore[[#This Row],[Land-DB]]-300)^(MAX(MIN(TblExplore[[#This Row],[Land-DB]]^0.0185/1.05,1.121),1.09))), 1000 - (3 * (300-TblExplore[[#This Row],[Land-DB]])))*(1+ tech_2_6*Techs!AC127 + tech_2_9*Techs!AF127 + tech_3_7*Techs!AN127 + Overview!$I$32),0)</f>
        <v>2504</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610</v>
      </c>
    </row>
    <row r="128" spans="1:36" s="49" customFormat="1" x14ac:dyDescent="0.2">
      <c r="A128" s="228">
        <f>TblRezone[[#This Row],[Hour]]</f>
        <v>125</v>
      </c>
      <c r="B128" s="280">
        <f ca="1">TblConstr[[#This Row],[Land]]</f>
        <v>600</v>
      </c>
      <c r="C128" s="281"/>
      <c r="D128" s="282">
        <f ca="1">TblConstr[[#This Row],[Plain]]</f>
        <v>0</v>
      </c>
      <c r="E128" s="236">
        <f ca="1">TblConstr[[#This Row],[Forest]]</f>
        <v>0</v>
      </c>
      <c r="F128" s="478">
        <f ca="1">TblConstr[[#This Row],[Mountain]]</f>
        <v>0</v>
      </c>
      <c r="G128" s="482">
        <f ca="1">TblConstr[[#This Row],[Hill]]</f>
        <v>0</v>
      </c>
      <c r="H128" s="486">
        <f ca="1">TblConstr[[#This Row],[Swamp]]</f>
        <v>0</v>
      </c>
      <c r="I128" s="239">
        <f ca="1">TblConstr[[#This Row],[Cavern]]</f>
        <v>0</v>
      </c>
      <c r="J128" s="240">
        <f ca="1">TblConstr[[#This Row],[Water]]</f>
        <v>0</v>
      </c>
      <c r="K128" s="275"/>
      <c r="L128" s="275">
        <v>5</v>
      </c>
      <c r="M128" s="275">
        <v>419</v>
      </c>
      <c r="N128" s="283">
        <f ca="1">TblMili[[#This Row],[Smithies]]</f>
        <v>0.18</v>
      </c>
      <c r="O128" s="283">
        <f ca="1">TblPop[[#This Row],[Employment]]</f>
        <v>1</v>
      </c>
      <c r="P128" s="283">
        <f ca="1">TblImps[[#This Row],[Population]]</f>
        <v>1</v>
      </c>
      <c r="Q128" s="228">
        <f ca="1">TblExplore[[#This Row],[Land]]</f>
        <v>600</v>
      </c>
      <c r="R128" s="228">
        <f>TblExplore[[#This Row],[Hour]]</f>
        <v>125</v>
      </c>
      <c r="S128" s="284"/>
      <c r="T128" s="232"/>
      <c r="U128" s="232"/>
      <c r="V128" s="232"/>
      <c r="W128" s="232"/>
      <c r="X128" s="232"/>
      <c r="Y128" s="232"/>
      <c r="Z128" s="232"/>
      <c r="AA128" s="205">
        <f ca="1">TblImps[[#This Row],[Real time]]</f>
        <v>44409.916666666366</v>
      </c>
      <c r="AB128" s="113">
        <f ca="1">TblMili[[#This Row],[Draftees]]</f>
        <v>3709</v>
      </c>
      <c r="AC128" s="113">
        <f ca="1">TblProd[[#This Row],[Platinum]]</f>
        <v>1766471</v>
      </c>
      <c r="AD128" s="281"/>
      <c r="AE128" s="49">
        <f ca="1">TblExplore[[#This Row],[Land]]-TblExplore[[#This Row],[Land Bonus]]*20</f>
        <v>600</v>
      </c>
      <c r="AF128" s="113">
        <f ca="1">ROUND(IF(TblExplore[[#This Row],[Land-DB]] &gt;= 300, 1000 + 3*((TblExplore[[#This Row],[Land-DB]]-300)^(MAX(MIN(TblExplore[[#This Row],[Land-DB]]^0.0185/1.05,1.121),1.09))), 1000 - (3 * (300-TblExplore[[#This Row],[Land-DB]])))*(1+ tech_2_6*Techs!AC128 + tech_2_9*Techs!AF128 + tech_3_7*Techs!AN128 + Overview!$I$32),0)</f>
        <v>2504</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618</v>
      </c>
    </row>
    <row r="129" spans="1:36" s="49" customFormat="1" x14ac:dyDescent="0.2">
      <c r="A129" s="228">
        <f>TblRezone[[#This Row],[Hour]]</f>
        <v>126</v>
      </c>
      <c r="B129" s="280">
        <f ca="1">TblConstr[[#This Row],[Land]]</f>
        <v>600</v>
      </c>
      <c r="C129" s="281"/>
      <c r="D129" s="282">
        <f ca="1">TblConstr[[#This Row],[Plain]]</f>
        <v>0</v>
      </c>
      <c r="E129" s="236">
        <f ca="1">TblConstr[[#This Row],[Forest]]</f>
        <v>0</v>
      </c>
      <c r="F129" s="478">
        <f ca="1">TblConstr[[#This Row],[Mountain]]</f>
        <v>0</v>
      </c>
      <c r="G129" s="482">
        <f ca="1">TblConstr[[#This Row],[Hill]]</f>
        <v>0</v>
      </c>
      <c r="H129" s="486">
        <f ca="1">TblConstr[[#This Row],[Swamp]]</f>
        <v>0</v>
      </c>
      <c r="I129" s="239">
        <f ca="1">TblConstr[[#This Row],[Cavern]]</f>
        <v>0</v>
      </c>
      <c r="J129" s="240">
        <f ca="1">TblConstr[[#This Row],[Water]]</f>
        <v>0</v>
      </c>
      <c r="K129" s="275"/>
      <c r="L129" s="275">
        <v>6</v>
      </c>
      <c r="M129" s="275">
        <v>632</v>
      </c>
      <c r="N129" s="283">
        <f ca="1">TblMili[[#This Row],[Smithies]]</f>
        <v>0.18</v>
      </c>
      <c r="O129" s="283">
        <f ca="1">TblPop[[#This Row],[Employment]]</f>
        <v>1</v>
      </c>
      <c r="P129" s="283">
        <f ca="1">TblImps[[#This Row],[Population]]</f>
        <v>1</v>
      </c>
      <c r="Q129" s="228">
        <f ca="1">TblExplore[[#This Row],[Land]]</f>
        <v>600</v>
      </c>
      <c r="R129" s="228">
        <f>TblExplore[[#This Row],[Hour]]</f>
        <v>126</v>
      </c>
      <c r="S129" s="284"/>
      <c r="T129" s="232"/>
      <c r="U129" s="232"/>
      <c r="V129" s="232"/>
      <c r="W129" s="232"/>
      <c r="X129" s="232"/>
      <c r="Y129" s="232"/>
      <c r="Z129" s="232"/>
      <c r="AA129" s="205">
        <f ca="1">TblImps[[#This Row],[Real time]]</f>
        <v>44409.95833333303</v>
      </c>
      <c r="AB129" s="113">
        <f ca="1">TblMili[[#This Row],[Draftees]]</f>
        <v>3753</v>
      </c>
      <c r="AC129" s="113">
        <f ca="1">TblProd[[#This Row],[Platinum]]</f>
        <v>1790171</v>
      </c>
      <c r="AD129" s="281"/>
      <c r="AE129" s="49">
        <f ca="1">TblExplore[[#This Row],[Land]]-TblExplore[[#This Row],[Land Bonus]]*20</f>
        <v>600</v>
      </c>
      <c r="AF129" s="113">
        <f ca="1">ROUND(IF(TblExplore[[#This Row],[Land-DB]] &gt;= 300, 1000 + 3*((TblExplore[[#This Row],[Land-DB]]-300)^(MAX(MIN(TblExplore[[#This Row],[Land-DB]]^0.0185/1.05,1.121),1.09))), 1000 - (3 * (300-TblExplore[[#This Row],[Land-DB]])))*(1+ tech_2_6*Techs!AC129 + tech_2_9*Techs!AF129 + tech_3_7*Techs!AN129 + Overview!$I$32),0)</f>
        <v>2504</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625</v>
      </c>
    </row>
    <row r="130" spans="1:36" s="49" customFormat="1" x14ac:dyDescent="0.2">
      <c r="A130" s="228">
        <f>TblRezone[[#This Row],[Hour]]</f>
        <v>127</v>
      </c>
      <c r="B130" s="280">
        <f ca="1">TblConstr[[#This Row],[Land]]</f>
        <v>600</v>
      </c>
      <c r="C130" s="281"/>
      <c r="D130" s="282">
        <f ca="1">TblConstr[[#This Row],[Plain]]</f>
        <v>0</v>
      </c>
      <c r="E130" s="236">
        <f ca="1">TblConstr[[#This Row],[Forest]]</f>
        <v>0</v>
      </c>
      <c r="F130" s="478">
        <f ca="1">TblConstr[[#This Row],[Mountain]]</f>
        <v>0</v>
      </c>
      <c r="G130" s="482">
        <f ca="1">TblConstr[[#This Row],[Hill]]</f>
        <v>0</v>
      </c>
      <c r="H130" s="486">
        <f ca="1">TblConstr[[#This Row],[Swamp]]</f>
        <v>0</v>
      </c>
      <c r="I130" s="239">
        <f ca="1">TblConstr[[#This Row],[Cavern]]</f>
        <v>0</v>
      </c>
      <c r="J130" s="240">
        <f ca="1">TblConstr[[#This Row],[Water]]</f>
        <v>0</v>
      </c>
      <c r="K130" s="275"/>
      <c r="L130" s="275">
        <v>7</v>
      </c>
      <c r="M130" s="275">
        <v>836</v>
      </c>
      <c r="N130" s="283">
        <f ca="1">TblMili[[#This Row],[Smithies]]</f>
        <v>0.18</v>
      </c>
      <c r="O130" s="283">
        <f ca="1">TblPop[[#This Row],[Employment]]</f>
        <v>1</v>
      </c>
      <c r="P130" s="283">
        <f ca="1">TblImps[[#This Row],[Population]]</f>
        <v>1</v>
      </c>
      <c r="Q130" s="228">
        <f ca="1">TblExplore[[#This Row],[Land]]</f>
        <v>600</v>
      </c>
      <c r="R130" s="228">
        <f>TblExplore[[#This Row],[Hour]]</f>
        <v>127</v>
      </c>
      <c r="S130" s="284"/>
      <c r="T130" s="232"/>
      <c r="U130" s="232"/>
      <c r="V130" s="232"/>
      <c r="W130" s="232"/>
      <c r="X130" s="232"/>
      <c r="Y130" s="232"/>
      <c r="Z130" s="232"/>
      <c r="AA130" s="205">
        <f ca="1">TblImps[[#This Row],[Real time]]</f>
        <v>44409.999999999694</v>
      </c>
      <c r="AB130" s="113">
        <f ca="1">TblMili[[#This Row],[Draftees]]</f>
        <v>3796</v>
      </c>
      <c r="AC130" s="113">
        <f ca="1">TblProd[[#This Row],[Platinum]]</f>
        <v>1813752</v>
      </c>
      <c r="AD130" s="281"/>
      <c r="AE130" s="49">
        <f ca="1">TblExplore[[#This Row],[Land]]-TblExplore[[#This Row],[Land Bonus]]*20</f>
        <v>600</v>
      </c>
      <c r="AF130" s="113">
        <f ca="1">ROUND(IF(TblExplore[[#This Row],[Land-DB]] &gt;= 300, 1000 + 3*((TblExplore[[#This Row],[Land-DB]]-300)^(MAX(MIN(TblExplore[[#This Row],[Land-DB]]^0.0185/1.05,1.121),1.09))), 1000 - (3 * (300-TblExplore[[#This Row],[Land-DB]])))*(1+ tech_2_6*Techs!AC130 + tech_2_9*Techs!AF130 + tech_3_7*Techs!AN130 + Overview!$I$32),0)</f>
        <v>2504</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632</v>
      </c>
    </row>
    <row r="131" spans="1:36" s="49" customFormat="1" x14ac:dyDescent="0.2">
      <c r="A131" s="228">
        <f>TblRezone[[#This Row],[Hour]]</f>
        <v>128</v>
      </c>
      <c r="B131" s="280">
        <f ca="1">TblConstr[[#This Row],[Land]]</f>
        <v>600</v>
      </c>
      <c r="C131" s="281"/>
      <c r="D131" s="282">
        <f ca="1">TblConstr[[#This Row],[Plain]]</f>
        <v>0</v>
      </c>
      <c r="E131" s="236">
        <f ca="1">TblConstr[[#This Row],[Forest]]</f>
        <v>0</v>
      </c>
      <c r="F131" s="478">
        <f ca="1">TblConstr[[#This Row],[Mountain]]</f>
        <v>0</v>
      </c>
      <c r="G131" s="482">
        <f ca="1">TblConstr[[#This Row],[Hill]]</f>
        <v>0</v>
      </c>
      <c r="H131" s="486">
        <f ca="1">TblConstr[[#This Row],[Swamp]]</f>
        <v>0</v>
      </c>
      <c r="I131" s="239">
        <f ca="1">TblConstr[[#This Row],[Cavern]]</f>
        <v>0</v>
      </c>
      <c r="J131" s="240">
        <f ca="1">TblConstr[[#This Row],[Water]]</f>
        <v>0</v>
      </c>
      <c r="K131" s="275"/>
      <c r="L131" s="275">
        <v>8</v>
      </c>
      <c r="M131" s="275">
        <v>1035</v>
      </c>
      <c r="N131" s="283">
        <f ca="1">TblMili[[#This Row],[Smithies]]</f>
        <v>0.18</v>
      </c>
      <c r="O131" s="283">
        <f ca="1">TblPop[[#This Row],[Employment]]</f>
        <v>1</v>
      </c>
      <c r="P131" s="283">
        <f ca="1">TblImps[[#This Row],[Population]]</f>
        <v>1</v>
      </c>
      <c r="Q131" s="228">
        <f ca="1">TblExplore[[#This Row],[Land]]</f>
        <v>600</v>
      </c>
      <c r="R131" s="228">
        <f>TblExplore[[#This Row],[Hour]]</f>
        <v>128</v>
      </c>
      <c r="S131" s="284"/>
      <c r="T131" s="232"/>
      <c r="U131" s="232"/>
      <c r="V131" s="232"/>
      <c r="W131" s="232"/>
      <c r="X131" s="232"/>
      <c r="Y131" s="232"/>
      <c r="Z131" s="232"/>
      <c r="AA131" s="205">
        <f ca="1">TblImps[[#This Row],[Real time]]</f>
        <v>44410.041666666359</v>
      </c>
      <c r="AB131" s="113">
        <f ca="1">TblMili[[#This Row],[Draftees]]</f>
        <v>3839</v>
      </c>
      <c r="AC131" s="113">
        <f ca="1">TblProd[[#This Row],[Platinum]]</f>
        <v>1837217</v>
      </c>
      <c r="AD131" s="281"/>
      <c r="AE131" s="49">
        <f ca="1">TblExplore[[#This Row],[Land]]-TblExplore[[#This Row],[Land Bonus]]*20</f>
        <v>600</v>
      </c>
      <c r="AF131" s="113">
        <f ca="1">ROUND(IF(TblExplore[[#This Row],[Land-DB]] &gt;= 300, 1000 + 3*((TblExplore[[#This Row],[Land-DB]]-300)^(MAX(MIN(TblExplore[[#This Row],[Land-DB]]^0.0185/1.05,1.121),1.09))), 1000 - (3 * (300-TblExplore[[#This Row],[Land-DB]])))*(1+ tech_2_6*Techs!AC131 + tech_2_9*Techs!AF131 + tech_3_7*Techs!AN131 + Overview!$I$32),0)</f>
        <v>2504</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639</v>
      </c>
    </row>
    <row r="132" spans="1:36" s="49" customFormat="1" x14ac:dyDescent="0.2">
      <c r="A132" s="228">
        <f>TblRezone[[#This Row],[Hour]]</f>
        <v>129</v>
      </c>
      <c r="B132" s="280">
        <f ca="1">TblConstr[[#This Row],[Land]]</f>
        <v>600</v>
      </c>
      <c r="C132" s="281"/>
      <c r="D132" s="282">
        <f ca="1">TblConstr[[#This Row],[Plain]]</f>
        <v>0</v>
      </c>
      <c r="E132" s="236">
        <f ca="1">TblConstr[[#This Row],[Forest]]</f>
        <v>0</v>
      </c>
      <c r="F132" s="478">
        <f ca="1">TblConstr[[#This Row],[Mountain]]</f>
        <v>0</v>
      </c>
      <c r="G132" s="482">
        <f ca="1">TblConstr[[#This Row],[Hill]]</f>
        <v>0</v>
      </c>
      <c r="H132" s="486">
        <f ca="1">TblConstr[[#This Row],[Swamp]]</f>
        <v>0</v>
      </c>
      <c r="I132" s="239">
        <f ca="1">TblConstr[[#This Row],[Cavern]]</f>
        <v>0</v>
      </c>
      <c r="J132" s="240">
        <f ca="1">TblConstr[[#This Row],[Water]]</f>
        <v>0</v>
      </c>
      <c r="K132" s="275"/>
      <c r="L132" s="275">
        <v>9</v>
      </c>
      <c r="M132" s="275">
        <v>1229</v>
      </c>
      <c r="N132" s="283">
        <f ca="1">TblMili[[#This Row],[Smithies]]</f>
        <v>0.18</v>
      </c>
      <c r="O132" s="283">
        <f ca="1">TblPop[[#This Row],[Employment]]</f>
        <v>1</v>
      </c>
      <c r="P132" s="283">
        <f ca="1">TblImps[[#This Row],[Population]]</f>
        <v>1</v>
      </c>
      <c r="Q132" s="228">
        <f ca="1">TblExplore[[#This Row],[Land]]</f>
        <v>600</v>
      </c>
      <c r="R132" s="228">
        <f>TblExplore[[#This Row],[Hour]]</f>
        <v>129</v>
      </c>
      <c r="S132" s="284"/>
      <c r="T132" s="232"/>
      <c r="U132" s="232"/>
      <c r="V132" s="232"/>
      <c r="W132" s="232"/>
      <c r="X132" s="232"/>
      <c r="Y132" s="232"/>
      <c r="Z132" s="232"/>
      <c r="AA132" s="205">
        <f ca="1">TblImps[[#This Row],[Real time]]</f>
        <v>44410.083333333023</v>
      </c>
      <c r="AB132" s="113">
        <f ca="1">TblMili[[#This Row],[Draftees]]</f>
        <v>3881</v>
      </c>
      <c r="AC132" s="113">
        <f ca="1">TblProd[[#This Row],[Platinum]]</f>
        <v>1860566</v>
      </c>
      <c r="AD132" s="281"/>
      <c r="AE132" s="49">
        <f ca="1">TblExplore[[#This Row],[Land]]-TblExplore[[#This Row],[Land Bonus]]*20</f>
        <v>600</v>
      </c>
      <c r="AF132" s="113">
        <f ca="1">ROUND(IF(TblExplore[[#This Row],[Land-DB]] &gt;= 300, 1000 + 3*((TblExplore[[#This Row],[Land-DB]]-300)^(MAX(MIN(TblExplore[[#This Row],[Land-DB]]^0.0185/1.05,1.121),1.09))), 1000 - (3 * (300-TblExplore[[#This Row],[Land-DB]])))*(1+ tech_2_6*Techs!AC132 + tech_2_9*Techs!AF132 + tech_3_7*Techs!AN132 + Overview!$I$32),0)</f>
        <v>2504</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646</v>
      </c>
    </row>
    <row r="133" spans="1:36" s="49" customFormat="1" x14ac:dyDescent="0.2">
      <c r="A133" s="228">
        <f>TblRezone[[#This Row],[Hour]]</f>
        <v>130</v>
      </c>
      <c r="B133" s="280">
        <f ca="1">TblConstr[[#This Row],[Land]]</f>
        <v>600</v>
      </c>
      <c r="C133" s="281"/>
      <c r="D133" s="282">
        <f ca="1">TblConstr[[#This Row],[Plain]]</f>
        <v>0</v>
      </c>
      <c r="E133" s="236">
        <f ca="1">TblConstr[[#This Row],[Forest]]</f>
        <v>0</v>
      </c>
      <c r="F133" s="478">
        <f ca="1">TblConstr[[#This Row],[Mountain]]</f>
        <v>0</v>
      </c>
      <c r="G133" s="482">
        <f ca="1">TblConstr[[#This Row],[Hill]]</f>
        <v>0</v>
      </c>
      <c r="H133" s="486">
        <f ca="1">TblConstr[[#This Row],[Swamp]]</f>
        <v>0</v>
      </c>
      <c r="I133" s="239">
        <f ca="1">TblConstr[[#This Row],[Cavern]]</f>
        <v>0</v>
      </c>
      <c r="J133" s="240">
        <f ca="1">TblConstr[[#This Row],[Water]]</f>
        <v>0</v>
      </c>
      <c r="K133" s="275"/>
      <c r="L133" s="275">
        <v>10</v>
      </c>
      <c r="M133" s="275">
        <v>1421</v>
      </c>
      <c r="N133" s="283">
        <f ca="1">TblMili[[#This Row],[Smithies]]</f>
        <v>0.18</v>
      </c>
      <c r="O133" s="283">
        <f ca="1">TblPop[[#This Row],[Employment]]</f>
        <v>1</v>
      </c>
      <c r="P133" s="283">
        <f ca="1">TblImps[[#This Row],[Population]]</f>
        <v>1</v>
      </c>
      <c r="Q133" s="228">
        <f ca="1">TblExplore[[#This Row],[Land]]</f>
        <v>600</v>
      </c>
      <c r="R133" s="228">
        <f>TblExplore[[#This Row],[Hour]]</f>
        <v>130</v>
      </c>
      <c r="S133" s="284"/>
      <c r="T133" s="232"/>
      <c r="U133" s="232"/>
      <c r="V133" s="232"/>
      <c r="W133" s="232"/>
      <c r="X133" s="232"/>
      <c r="Y133" s="232"/>
      <c r="Z133" s="232"/>
      <c r="AA133" s="205">
        <f ca="1">TblImps[[#This Row],[Real time]]</f>
        <v>44410.124999999687</v>
      </c>
      <c r="AB133" s="113">
        <f ca="1">TblMili[[#This Row],[Draftees]]</f>
        <v>3923</v>
      </c>
      <c r="AC133" s="113">
        <f ca="1">TblProd[[#This Row],[Platinum]]</f>
        <v>1883802</v>
      </c>
      <c r="AD133" s="281"/>
      <c r="AE133" s="49">
        <f ca="1">TblExplore[[#This Row],[Land]]-TblExplore[[#This Row],[Land Bonus]]*20</f>
        <v>600</v>
      </c>
      <c r="AF133" s="113">
        <f ca="1">ROUND(IF(TblExplore[[#This Row],[Land-DB]] &gt;= 300, 1000 + 3*((TblExplore[[#This Row],[Land-DB]]-300)^(MAX(MIN(TblExplore[[#This Row],[Land-DB]]^0.0185/1.05,1.121),1.09))), 1000 - (3 * (300-TblExplore[[#This Row],[Land-DB]])))*(1+ tech_2_6*Techs!AC133 + tech_2_9*Techs!AF133 + tech_3_7*Techs!AN133 + Overview!$I$32),0)</f>
        <v>2504</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653</v>
      </c>
    </row>
    <row r="134" spans="1:36" s="49" customFormat="1" x14ac:dyDescent="0.2">
      <c r="A134" s="228">
        <f>TblRezone[[#This Row],[Hour]]</f>
        <v>131</v>
      </c>
      <c r="B134" s="280">
        <f ca="1">TblConstr[[#This Row],[Land]]</f>
        <v>600</v>
      </c>
      <c r="C134" s="281"/>
      <c r="D134" s="282">
        <f ca="1">TblConstr[[#This Row],[Plain]]</f>
        <v>0</v>
      </c>
      <c r="E134" s="236">
        <f ca="1">TblConstr[[#This Row],[Forest]]</f>
        <v>0</v>
      </c>
      <c r="F134" s="478">
        <f ca="1">TblConstr[[#This Row],[Mountain]]</f>
        <v>0</v>
      </c>
      <c r="G134" s="482">
        <f ca="1">TblConstr[[#This Row],[Hill]]</f>
        <v>0</v>
      </c>
      <c r="H134" s="486">
        <f ca="1">TblConstr[[#This Row],[Swamp]]</f>
        <v>0</v>
      </c>
      <c r="I134" s="239">
        <f ca="1">TblConstr[[#This Row],[Cavern]]</f>
        <v>0</v>
      </c>
      <c r="J134" s="240">
        <f ca="1">TblConstr[[#This Row],[Water]]</f>
        <v>0</v>
      </c>
      <c r="K134" s="275"/>
      <c r="L134" s="275">
        <v>11</v>
      </c>
      <c r="M134" s="275">
        <v>1610</v>
      </c>
      <c r="N134" s="283">
        <f ca="1">TblMili[[#This Row],[Smithies]]</f>
        <v>0.18</v>
      </c>
      <c r="O134" s="283">
        <f ca="1">TblPop[[#This Row],[Employment]]</f>
        <v>1</v>
      </c>
      <c r="P134" s="283">
        <f ca="1">TblImps[[#This Row],[Population]]</f>
        <v>1</v>
      </c>
      <c r="Q134" s="228">
        <f ca="1">TblExplore[[#This Row],[Land]]</f>
        <v>600</v>
      </c>
      <c r="R134" s="228">
        <f>TblExplore[[#This Row],[Hour]]</f>
        <v>131</v>
      </c>
      <c r="S134" s="284"/>
      <c r="T134" s="232"/>
      <c r="U134" s="232"/>
      <c r="V134" s="232"/>
      <c r="W134" s="232"/>
      <c r="X134" s="232"/>
      <c r="Y134" s="232"/>
      <c r="Z134" s="232"/>
      <c r="AA134" s="205">
        <f ca="1">TblImps[[#This Row],[Real time]]</f>
        <v>44410.166666666351</v>
      </c>
      <c r="AB134" s="113">
        <f ca="1">TblMili[[#This Row],[Draftees]]</f>
        <v>3965</v>
      </c>
      <c r="AC134" s="113">
        <f ca="1">TblProd[[#This Row],[Platinum]]</f>
        <v>1906924</v>
      </c>
      <c r="AD134" s="281"/>
      <c r="AE134" s="49">
        <f ca="1">TblExplore[[#This Row],[Land]]-TblExplore[[#This Row],[Land Bonus]]*20</f>
        <v>600</v>
      </c>
      <c r="AF134" s="113">
        <f ca="1">ROUND(IF(TblExplore[[#This Row],[Land-DB]] &gt;= 300, 1000 + 3*((TblExplore[[#This Row],[Land-DB]]-300)^(MAX(MIN(TblExplore[[#This Row],[Land-DB]]^0.0185/1.05,1.121),1.09))), 1000 - (3 * (300-TblExplore[[#This Row],[Land-DB]])))*(1+ tech_2_6*Techs!AC134 + tech_2_9*Techs!AF134 + tech_3_7*Techs!AN134 + Overview!$I$32),0)</f>
        <v>2504</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660</v>
      </c>
    </row>
    <row r="135" spans="1:36" s="49" customFormat="1" x14ac:dyDescent="0.2">
      <c r="A135" s="228">
        <f>TblRezone[[#This Row],[Hour]]</f>
        <v>132</v>
      </c>
      <c r="B135" s="280">
        <f ca="1">TblConstr[[#This Row],[Land]]</f>
        <v>600</v>
      </c>
      <c r="C135" s="281"/>
      <c r="D135" s="282">
        <f ca="1">TblConstr[[#This Row],[Plain]]</f>
        <v>0</v>
      </c>
      <c r="E135" s="236">
        <f ca="1">TblConstr[[#This Row],[Forest]]</f>
        <v>0</v>
      </c>
      <c r="F135" s="478">
        <f ca="1">TblConstr[[#This Row],[Mountain]]</f>
        <v>0</v>
      </c>
      <c r="G135" s="482">
        <f ca="1">TblConstr[[#This Row],[Hill]]</f>
        <v>0</v>
      </c>
      <c r="H135" s="486">
        <f ca="1">TblConstr[[#This Row],[Swamp]]</f>
        <v>0</v>
      </c>
      <c r="I135" s="239">
        <f ca="1">TblConstr[[#This Row],[Cavern]]</f>
        <v>0</v>
      </c>
      <c r="J135" s="240">
        <f ca="1">TblConstr[[#This Row],[Water]]</f>
        <v>0</v>
      </c>
      <c r="K135" s="275"/>
      <c r="L135" s="275">
        <v>12</v>
      </c>
      <c r="M135" s="275">
        <v>1798</v>
      </c>
      <c r="N135" s="283">
        <f ca="1">TblMili[[#This Row],[Smithies]]</f>
        <v>0.18</v>
      </c>
      <c r="O135" s="283">
        <f ca="1">TblPop[[#This Row],[Employment]]</f>
        <v>1</v>
      </c>
      <c r="P135" s="283">
        <f ca="1">TblImps[[#This Row],[Population]]</f>
        <v>1</v>
      </c>
      <c r="Q135" s="228">
        <f ca="1">TblExplore[[#This Row],[Land]]</f>
        <v>600</v>
      </c>
      <c r="R135" s="228">
        <f>TblExplore[[#This Row],[Hour]]</f>
        <v>132</v>
      </c>
      <c r="S135" s="284"/>
      <c r="T135" s="232"/>
      <c r="U135" s="232"/>
      <c r="V135" s="232"/>
      <c r="W135" s="232"/>
      <c r="X135" s="232"/>
      <c r="Y135" s="232"/>
      <c r="Z135" s="232"/>
      <c r="AA135" s="205">
        <f ca="1">TblImps[[#This Row],[Real time]]</f>
        <v>44410.208333333016</v>
      </c>
      <c r="AB135" s="113">
        <f ca="1">TblMili[[#This Row],[Draftees]]</f>
        <v>4006</v>
      </c>
      <c r="AC135" s="113">
        <f ca="1">TblProd[[#This Row],[Platinum]]</f>
        <v>1929933</v>
      </c>
      <c r="AD135" s="281"/>
      <c r="AE135" s="49">
        <f ca="1">TblExplore[[#This Row],[Land]]-TblExplore[[#This Row],[Land Bonus]]*20</f>
        <v>600</v>
      </c>
      <c r="AF135" s="113">
        <f ca="1">ROUND(IF(TblExplore[[#This Row],[Land-DB]] &gt;= 300, 1000 + 3*((TblExplore[[#This Row],[Land-DB]]-300)^(MAX(MIN(TblExplore[[#This Row],[Land-DB]]^0.0185/1.05,1.121),1.09))), 1000 - (3 * (300-TblExplore[[#This Row],[Land-DB]])))*(1+ tech_2_6*Techs!AC135 + tech_2_9*Techs!AF135 + tech_3_7*Techs!AN135 + Overview!$I$32),0)</f>
        <v>2504</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667</v>
      </c>
    </row>
    <row r="136" spans="1:36" s="49" customFormat="1" x14ac:dyDescent="0.2">
      <c r="A136" s="228">
        <f>TblRezone[[#This Row],[Hour]]</f>
        <v>133</v>
      </c>
      <c r="B136" s="280">
        <f ca="1">TblConstr[[#This Row],[Land]]</f>
        <v>600</v>
      </c>
      <c r="C136" s="281"/>
      <c r="D136" s="282">
        <f ca="1">TblConstr[[#This Row],[Plain]]</f>
        <v>0</v>
      </c>
      <c r="E136" s="236">
        <f ca="1">TblConstr[[#This Row],[Forest]]</f>
        <v>0</v>
      </c>
      <c r="F136" s="478">
        <f ca="1">TblConstr[[#This Row],[Mountain]]</f>
        <v>0</v>
      </c>
      <c r="G136" s="482">
        <f ca="1">TblConstr[[#This Row],[Hill]]</f>
        <v>0</v>
      </c>
      <c r="H136" s="486">
        <f ca="1">TblConstr[[#This Row],[Swamp]]</f>
        <v>0</v>
      </c>
      <c r="I136" s="239">
        <f ca="1">TblConstr[[#This Row],[Cavern]]</f>
        <v>0</v>
      </c>
      <c r="J136" s="240">
        <f ca="1">TblConstr[[#This Row],[Water]]</f>
        <v>0</v>
      </c>
      <c r="K136" s="275"/>
      <c r="L136" s="275">
        <v>13</v>
      </c>
      <c r="M136" s="275">
        <v>1984</v>
      </c>
      <c r="N136" s="283">
        <f ca="1">TblMili[[#This Row],[Smithies]]</f>
        <v>0.18</v>
      </c>
      <c r="O136" s="283">
        <f ca="1">TblPop[[#This Row],[Employment]]</f>
        <v>0</v>
      </c>
      <c r="P136" s="283">
        <f ca="1">TblImps[[#This Row],[Population]]</f>
        <v>1</v>
      </c>
      <c r="Q136" s="228">
        <f ca="1">TblExplore[[#This Row],[Land]]</f>
        <v>600</v>
      </c>
      <c r="R136" s="228">
        <f>TblExplore[[#This Row],[Hour]]</f>
        <v>133</v>
      </c>
      <c r="S136" s="284"/>
      <c r="T136" s="232"/>
      <c r="U136" s="232"/>
      <c r="V136" s="232"/>
      <c r="W136" s="232"/>
      <c r="X136" s="232"/>
      <c r="Y136" s="232"/>
      <c r="Z136" s="232"/>
      <c r="AA136" s="205">
        <f ca="1">TblImps[[#This Row],[Real time]]</f>
        <v>44410.24999999968</v>
      </c>
      <c r="AB136" s="113">
        <f ca="1">TblMili[[#This Row],[Draftees]]</f>
        <v>4047</v>
      </c>
      <c r="AC136" s="113">
        <f ca="1">TblProd[[#This Row],[Platinum]]</f>
        <v>1952831</v>
      </c>
      <c r="AD136" s="281"/>
      <c r="AE136" s="49">
        <f ca="1">TblExplore[[#This Row],[Land]]-TblExplore[[#This Row],[Land Bonus]]*20</f>
        <v>600</v>
      </c>
      <c r="AF136" s="113">
        <f ca="1">ROUND(IF(TblExplore[[#This Row],[Land-DB]] &gt;= 300, 1000 + 3*((TblExplore[[#This Row],[Land-DB]]-300)^(MAX(MIN(TblExplore[[#This Row],[Land-DB]]^0.0185/1.05,1.121),1.09))), 1000 - (3 * (300-TblExplore[[#This Row],[Land-DB]])))*(1+ tech_2_6*Techs!AC136 + tech_2_9*Techs!AF136 + tech_3_7*Techs!AN136 + Overview!$I$32),0)</f>
        <v>2504</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674</v>
      </c>
    </row>
    <row r="1269" spans="2:13" x14ac:dyDescent="0.2">
      <c r="B1269" s="585" t="s">
        <v>327</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0" priority="13" stopIfTrue="1">
      <formula>$M26&lt;$M17</formula>
    </cfRule>
    <cfRule type="expression" dxfId="469" priority="14" stopIfTrue="1">
      <formula>$M17&lt;$M26</formula>
    </cfRule>
  </conditionalFormatting>
  <conditionalFormatting sqref="C1270 D1269:AJ1270 A1269:B1270">
    <cfRule type="expression" dxfId="468" priority="11" stopIfTrue="1">
      <formula>$B$1270&gt;144</formula>
    </cfRule>
  </conditionalFormatting>
  <conditionalFormatting sqref="A4:J136 N4:AJ136">
    <cfRule type="expression" dxfId="467" priority="1" stopIfTrue="1">
      <formula>ROW()-3=$B$1270</formula>
    </cfRule>
  </conditionalFormatting>
  <conditionalFormatting sqref="D4:J136">
    <cfRule type="expression" dxfId="466" priority="2" stopIfTrue="1">
      <formula>OR(ROW()-3=$B$1270,D4&lt;0)</formula>
    </cfRule>
  </conditionalFormatting>
  <conditionalFormatting sqref="A1:XFD3">
    <cfRule type="expression" dxfId="465" priority="16" stopIfTrue="1">
      <formula>$B$1270&lt;0</formula>
    </cfRule>
  </conditionalFormatting>
  <conditionalFormatting sqref="A4:AJ136">
    <cfRule type="expression" dxfId="464" priority="3">
      <formula>$A4=73</formula>
    </cfRule>
    <cfRule type="expression" dxfId="463"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Q19" sqref="Q19"/>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0</v>
      </c>
      <c r="D4" s="478">
        <f ca="1">TblConstr[[#This Row],[Mountain]]</f>
        <v>20</v>
      </c>
      <c r="E4" s="482">
        <f ca="1">TblConstr[[#This Row],[Hill]]</f>
        <v>0</v>
      </c>
      <c r="F4" s="486">
        <f ca="1">TblConstr[[#This Row],[Swamp]]</f>
        <v>0</v>
      </c>
      <c r="G4" s="239">
        <f ca="1">TblConstr[[#This Row],[Cavern]]</f>
        <v>0</v>
      </c>
      <c r="H4" s="240">
        <f ca="1">TblConstr[[#This Row],[Water]]</f>
        <v>20</v>
      </c>
      <c r="I4" s="281"/>
      <c r="J4" s="228">
        <v>1</v>
      </c>
      <c r="K4" s="305">
        <f>TblImps[[#This Row],[Real time]]</f>
        <v>44404.75</v>
      </c>
      <c r="L4" s="204"/>
      <c r="M4" s="204">
        <v>-20</v>
      </c>
      <c r="N4" s="232"/>
      <c r="O4" s="204">
        <v>25</v>
      </c>
      <c r="P4" s="204">
        <v>15</v>
      </c>
      <c r="Q4" s="204">
        <v>-20</v>
      </c>
      <c r="R4" s="204"/>
      <c r="S4" s="113">
        <f>SUMIF(TblRezone[[#This Row],[Plains Rezone]:[Water Rezone]],"&gt;0")</f>
        <v>40</v>
      </c>
      <c r="T4" s="74" t="str">
        <f>IF(SUM(TblRezone[[#This Row],[Plains Rezone]:[Water Rezone]])=0,"Ok","Nope")</f>
        <v>Ok</v>
      </c>
      <c r="U4" s="281"/>
      <c r="V4" s="113">
        <f ca="1">TblProd[[#This Row],[Platinum]]</f>
        <v>42000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10000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0</v>
      </c>
      <c r="D5" s="478">
        <f ca="1">TblConstr[[#This Row],[Mountain]]</f>
        <v>20</v>
      </c>
      <c r="E5" s="482">
        <f ca="1">TblConstr[[#This Row],[Hill]]</f>
        <v>0</v>
      </c>
      <c r="F5" s="486">
        <f ca="1">TblConstr[[#This Row],[Swamp]]</f>
        <v>0</v>
      </c>
      <c r="G5" s="239">
        <f ca="1">TblConstr[[#This Row],[Cavern]]</f>
        <v>0</v>
      </c>
      <c r="H5" s="240">
        <f ca="1">TblConstr[[#This Row],[Water]]</f>
        <v>20</v>
      </c>
      <c r="I5" s="281"/>
      <c r="J5" s="228">
        <f t="shared" ref="J5:J15" si="0">J4+1</f>
        <v>2</v>
      </c>
      <c r="K5" s="305">
        <f ca="1">TblImps[[#This Row],[Real time]]</f>
        <v>44404.791666666664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46860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0</v>
      </c>
      <c r="D6" s="478">
        <f ca="1">TblConstr[[#This Row],[Mountain]]</f>
        <v>20</v>
      </c>
      <c r="E6" s="482">
        <f ca="1">TblConstr[[#This Row],[Hill]]</f>
        <v>0</v>
      </c>
      <c r="F6" s="486">
        <f ca="1">TblConstr[[#This Row],[Swamp]]</f>
        <v>0</v>
      </c>
      <c r="G6" s="239">
        <f ca="1">TblConstr[[#This Row],[Cavern]]</f>
        <v>0</v>
      </c>
      <c r="H6" s="240">
        <f ca="1">TblConstr[[#This Row],[Water]]</f>
        <v>20</v>
      </c>
      <c r="I6" s="281"/>
      <c r="J6" s="228">
        <f t="shared" si="0"/>
        <v>3</v>
      </c>
      <c r="K6" s="305">
        <f ca="1">TblImps[[#This Row],[Real time]]</f>
        <v>44404.833333333328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51790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0</v>
      </c>
      <c r="D7" s="478">
        <f ca="1">TblConstr[[#This Row],[Mountain]]</f>
        <v>20</v>
      </c>
      <c r="E7" s="482">
        <f ca="1">TblConstr[[#This Row],[Hill]]</f>
        <v>0</v>
      </c>
      <c r="F7" s="486">
        <f ca="1">TblConstr[[#This Row],[Swamp]]</f>
        <v>0</v>
      </c>
      <c r="G7" s="239">
        <f ca="1">TblConstr[[#This Row],[Cavern]]</f>
        <v>0</v>
      </c>
      <c r="H7" s="240">
        <f ca="1">TblConstr[[#This Row],[Water]]</f>
        <v>20</v>
      </c>
      <c r="I7" s="281"/>
      <c r="J7" s="228">
        <f t="shared" si="0"/>
        <v>4</v>
      </c>
      <c r="K7" s="305">
        <f ca="1">TblImps[[#This Row],[Real time]]</f>
        <v>44404.874999999993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56790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0</v>
      </c>
      <c r="D8" s="478">
        <f ca="1">TblConstr[[#This Row],[Mountain]]</f>
        <v>20</v>
      </c>
      <c r="E8" s="482">
        <f ca="1">TblConstr[[#This Row],[Hill]]</f>
        <v>0</v>
      </c>
      <c r="F8" s="486">
        <f ca="1">TblConstr[[#This Row],[Swamp]]</f>
        <v>0</v>
      </c>
      <c r="G8" s="239">
        <f ca="1">TblConstr[[#This Row],[Cavern]]</f>
        <v>0</v>
      </c>
      <c r="H8" s="240">
        <f ca="1">TblConstr[[#This Row],[Water]]</f>
        <v>20</v>
      </c>
      <c r="I8" s="281"/>
      <c r="J8" s="228">
        <f t="shared" si="0"/>
        <v>5</v>
      </c>
      <c r="K8" s="305">
        <f ca="1">TblImps[[#This Row],[Real time]]</f>
        <v>44404.916666666657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61860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0</v>
      </c>
      <c r="D9" s="478">
        <f ca="1">TblConstr[[#This Row],[Mountain]]</f>
        <v>20</v>
      </c>
      <c r="E9" s="482">
        <f ca="1">TblConstr[[#This Row],[Hill]]</f>
        <v>0</v>
      </c>
      <c r="F9" s="486">
        <f ca="1">TblConstr[[#This Row],[Swamp]]</f>
        <v>0</v>
      </c>
      <c r="G9" s="239">
        <f ca="1">TblConstr[[#This Row],[Cavern]]</f>
        <v>0</v>
      </c>
      <c r="H9" s="240">
        <f ca="1">TblConstr[[#This Row],[Water]]</f>
        <v>20</v>
      </c>
      <c r="I9" s="281"/>
      <c r="J9" s="228">
        <f t="shared" si="0"/>
        <v>6</v>
      </c>
      <c r="K9" s="305">
        <f ca="1">TblImps[[#This Row],[Real time]]</f>
        <v>44404.958333333321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67003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0</v>
      </c>
      <c r="D10" s="478">
        <f ca="1">TblConstr[[#This Row],[Mountain]]</f>
        <v>20</v>
      </c>
      <c r="E10" s="482">
        <f ca="1">TblConstr[[#This Row],[Hill]]</f>
        <v>0</v>
      </c>
      <c r="F10" s="486">
        <f ca="1">TblConstr[[#This Row],[Swamp]]</f>
        <v>0</v>
      </c>
      <c r="G10" s="239">
        <f ca="1">TblConstr[[#This Row],[Cavern]]</f>
        <v>0</v>
      </c>
      <c r="H10" s="240">
        <f ca="1">TblConstr[[#This Row],[Water]]</f>
        <v>20</v>
      </c>
      <c r="I10" s="281"/>
      <c r="J10" s="228">
        <f t="shared" si="0"/>
        <v>7</v>
      </c>
      <c r="K10" s="305">
        <f ca="1">TblImps[[#This Row],[Real time]]</f>
        <v>44404.999999999985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72222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0</v>
      </c>
      <c r="D11" s="478">
        <f ca="1">TblConstr[[#This Row],[Mountain]]</f>
        <v>20</v>
      </c>
      <c r="E11" s="482">
        <f ca="1">TblConstr[[#This Row],[Hill]]</f>
        <v>0</v>
      </c>
      <c r="F11" s="486">
        <f ca="1">TblConstr[[#This Row],[Swamp]]</f>
        <v>0</v>
      </c>
      <c r="G11" s="239">
        <f ca="1">TblConstr[[#This Row],[Cavern]]</f>
        <v>0</v>
      </c>
      <c r="H11" s="240">
        <f ca="1">TblConstr[[#This Row],[Water]]</f>
        <v>20</v>
      </c>
      <c r="I11" s="281"/>
      <c r="J11" s="228">
        <f t="shared" si="0"/>
        <v>8</v>
      </c>
      <c r="K11" s="305">
        <f ca="1">TblImps[[#This Row],[Real time]]</f>
        <v>44405.04166666665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77519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0</v>
      </c>
      <c r="D12" s="478">
        <f ca="1">TblConstr[[#This Row],[Mountain]]</f>
        <v>20</v>
      </c>
      <c r="E12" s="482">
        <f ca="1">TblConstr[[#This Row],[Hill]]</f>
        <v>0</v>
      </c>
      <c r="F12" s="486">
        <f ca="1">TblConstr[[#This Row],[Swamp]]</f>
        <v>0</v>
      </c>
      <c r="G12" s="239">
        <f ca="1">TblConstr[[#This Row],[Cavern]]</f>
        <v>0</v>
      </c>
      <c r="H12" s="240">
        <f ca="1">TblConstr[[#This Row],[Water]]</f>
        <v>20</v>
      </c>
      <c r="I12" s="281"/>
      <c r="J12" s="228">
        <f t="shared" si="0"/>
        <v>9</v>
      </c>
      <c r="K12" s="305">
        <f ca="1">TblImps[[#This Row],[Real time]]</f>
        <v>44405.083333333314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82892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0</v>
      </c>
      <c r="D13" s="478">
        <f ca="1">TblConstr[[#This Row],[Mountain]]</f>
        <v>20</v>
      </c>
      <c r="E13" s="482">
        <f ca="1">TblConstr[[#This Row],[Hill]]</f>
        <v>0</v>
      </c>
      <c r="F13" s="486">
        <f ca="1">TblConstr[[#This Row],[Swamp]]</f>
        <v>0</v>
      </c>
      <c r="G13" s="239">
        <f ca="1">TblConstr[[#This Row],[Cavern]]</f>
        <v>0</v>
      </c>
      <c r="H13" s="240">
        <f ca="1">TblConstr[[#This Row],[Water]]</f>
        <v>20</v>
      </c>
      <c r="I13" s="281"/>
      <c r="J13" s="228">
        <f t="shared" si="0"/>
        <v>10</v>
      </c>
      <c r="K13" s="305">
        <f ca="1">TblImps[[#This Row],[Real time]]</f>
        <v>44405.124999999978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88343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0</v>
      </c>
      <c r="D14" s="478">
        <f ca="1">TblConstr[[#This Row],[Mountain]]</f>
        <v>20</v>
      </c>
      <c r="E14" s="482">
        <f ca="1">TblConstr[[#This Row],[Hill]]</f>
        <v>0</v>
      </c>
      <c r="F14" s="486">
        <f ca="1">TblConstr[[#This Row],[Swamp]]</f>
        <v>0</v>
      </c>
      <c r="G14" s="239">
        <f ca="1">TblConstr[[#This Row],[Cavern]]</f>
        <v>0</v>
      </c>
      <c r="H14" s="240">
        <f ca="1">TblConstr[[#This Row],[Water]]</f>
        <v>20</v>
      </c>
      <c r="I14" s="281"/>
      <c r="J14" s="228">
        <f t="shared" si="0"/>
        <v>11</v>
      </c>
      <c r="K14" s="305">
        <f ca="1">TblImps[[#This Row],[Real time]]</f>
        <v>44405.166666666642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93875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0</v>
      </c>
      <c r="D15" s="478">
        <f ca="1">TblConstr[[#This Row],[Mountain]]</f>
        <v>20</v>
      </c>
      <c r="E15" s="482">
        <f ca="1">TblConstr[[#This Row],[Hill]]</f>
        <v>0</v>
      </c>
      <c r="F15" s="486">
        <f ca="1">TblConstr[[#This Row],[Swamp]]</f>
        <v>0</v>
      </c>
      <c r="G15" s="239">
        <f ca="1">TblConstr[[#This Row],[Cavern]]</f>
        <v>0</v>
      </c>
      <c r="H15" s="240">
        <f ca="1">TblConstr[[#This Row],[Water]]</f>
        <v>20</v>
      </c>
      <c r="I15" s="281"/>
      <c r="J15" s="228">
        <f t="shared" si="0"/>
        <v>12</v>
      </c>
      <c r="K15" s="305">
        <f ca="1">TblImps[[#This Row],[Real time]]</f>
        <v>44405.208333333307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99491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0</v>
      </c>
      <c r="C16" s="236">
        <f ca="1">TblConstr[[#This Row],[Forest]]</f>
        <v>0</v>
      </c>
      <c r="D16" s="478">
        <f ca="1">TblConstr[[#This Row],[Mountain]]</f>
        <v>0</v>
      </c>
      <c r="E16" s="482">
        <f ca="1">TblConstr[[#This Row],[Hill]]</f>
        <v>0</v>
      </c>
      <c r="F16" s="486">
        <f ca="1">TblConstr[[#This Row],[Swamp]]</f>
        <v>0</v>
      </c>
      <c r="G16" s="239">
        <f ca="1">TblConstr[[#This Row],[Cavern]]</f>
        <v>0</v>
      </c>
      <c r="H16" s="240">
        <f ca="1">TblConstr[[#This Row],[Water]]</f>
        <v>0</v>
      </c>
      <c r="I16" s="281"/>
      <c r="J16" s="228">
        <f>J15+1</f>
        <v>13</v>
      </c>
      <c r="K16" s="305">
        <f ca="1">TblImps[[#This Row],[Real time]]</f>
        <v>44405.249999999971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53340</v>
      </c>
      <c r="W16" s="281"/>
      <c r="X16" s="113">
        <f ca="1">ROUNDUP( (1-MIN(ROUND(facs_rezone_factor*TblRezone[[#This Row],[Facs]],4),facs_rezone_max) + tech_6_4*TblTech[[#This Row],[6-4]] + tech_10_2*TblTech[[#This Row],[10-2]] - IF(TblMagic[[#This Row],[Active Mechanical Genius]]&gt;0,mech_genius_bonus,0) + race_rezone_cost) * TblRezone[[#This Row],[Plat/acre*]],0)</f>
        <v>100</v>
      </c>
      <c r="Y16" s="113">
        <f ca="1">TblRezone[[#This Row],[Total acres]]*TblRezone[[#This Row],[Plat/acre]]</f>
        <v>0</v>
      </c>
      <c r="Z16" s="281"/>
      <c r="AA16" s="113">
        <f ca="1">250+0.6*(TblRezone[[#This Row],[Land]]-250)</f>
        <v>250</v>
      </c>
      <c r="AB16" s="281"/>
      <c r="AC16" s="203">
        <f ca="1">TblConstr[[#This Row],[Facs DB]]</f>
        <v>0.18</v>
      </c>
    </row>
    <row r="17" spans="1:29" x14ac:dyDescent="0.2">
      <c r="A17" s="280">
        <f ca="1">TblConstr[[#This Row],[Land]]</f>
        <v>250</v>
      </c>
      <c r="B17" s="282">
        <f ca="1">TblConstr[[#This Row],[Plain]]</f>
        <v>0</v>
      </c>
      <c r="C17" s="236">
        <f ca="1">TblConstr[[#This Row],[Forest]]</f>
        <v>0</v>
      </c>
      <c r="D17" s="478">
        <f ca="1">TblConstr[[#This Row],[Mountain]]</f>
        <v>0</v>
      </c>
      <c r="E17" s="482">
        <f ca="1">TblConstr[[#This Row],[Hill]]</f>
        <v>0</v>
      </c>
      <c r="F17" s="486">
        <f ca="1">TblConstr[[#This Row],[Swamp]]</f>
        <v>0</v>
      </c>
      <c r="G17" s="239">
        <f ca="1">TblConstr[[#This Row],[Cavern]]</f>
        <v>0</v>
      </c>
      <c r="H17" s="240">
        <f ca="1">TblConstr[[#This Row],[Water]]</f>
        <v>0</v>
      </c>
      <c r="I17" s="281"/>
      <c r="J17" s="228">
        <f t="shared" ref="J17:J76" si="1">J16+1</f>
        <v>14</v>
      </c>
      <c r="K17" s="305">
        <f ca="1">TblImps[[#This Row],[Real time]]</f>
        <v>44405.291666666635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59188</v>
      </c>
      <c r="W17" s="281"/>
      <c r="X17" s="113">
        <f ca="1">ROUNDUP( (1-MIN(ROUND(facs_rezone_factor*TblRezone[[#This Row],[Facs]],4),facs_rezone_max) + tech_6_4*TblTech[[#This Row],[6-4]] + tech_10_2*TblTech[[#This Row],[10-2]] - IF(TblMagic[[#This Row],[Active Mechanical Genius]]&gt;0,mech_genius_bonus,0) + race_rezone_cost) * TblRezone[[#This Row],[Plat/acre*]],0)</f>
        <v>100</v>
      </c>
      <c r="Y17" s="113">
        <f ca="1">TblRezone[[#This Row],[Total acres]]*TblRezone[[#This Row],[Plat/acre]]</f>
        <v>0</v>
      </c>
      <c r="Z17" s="281"/>
      <c r="AA17" s="113">
        <f ca="1">250+0.6*(TblRezone[[#This Row],[Land]]-250)</f>
        <v>250</v>
      </c>
      <c r="AB17" s="281"/>
      <c r="AC17" s="203">
        <f ca="1">TblConstr[[#This Row],[Facs DB]]</f>
        <v>0.18</v>
      </c>
    </row>
    <row r="18" spans="1:29" x14ac:dyDescent="0.2">
      <c r="A18" s="280">
        <f ca="1">TblConstr[[#This Row],[Land]]</f>
        <v>250</v>
      </c>
      <c r="B18" s="282">
        <f ca="1">TblConstr[[#This Row],[Plain]]</f>
        <v>0</v>
      </c>
      <c r="C18" s="236">
        <f ca="1">TblConstr[[#This Row],[Forest]]</f>
        <v>0</v>
      </c>
      <c r="D18" s="478">
        <f ca="1">TblConstr[[#This Row],[Mountain]]</f>
        <v>0</v>
      </c>
      <c r="E18" s="482">
        <f ca="1">TblConstr[[#This Row],[Hill]]</f>
        <v>0</v>
      </c>
      <c r="F18" s="486">
        <f ca="1">TblConstr[[#This Row],[Swamp]]</f>
        <v>0</v>
      </c>
      <c r="G18" s="239">
        <f ca="1">TblConstr[[#This Row],[Cavern]]</f>
        <v>0</v>
      </c>
      <c r="H18" s="240">
        <f ca="1">TblConstr[[#This Row],[Water]]</f>
        <v>0</v>
      </c>
      <c r="I18" s="281"/>
      <c r="J18" s="228">
        <f t="shared" si="1"/>
        <v>15</v>
      </c>
      <c r="K18" s="305">
        <f ca="1">TblImps[[#This Row],[Real time]]</f>
        <v>44405.333333333299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65187</v>
      </c>
      <c r="W18" s="281"/>
      <c r="X18" s="113">
        <f ca="1">ROUNDUP( (1-MIN(ROUND(facs_rezone_factor*TblRezone[[#This Row],[Facs]],4),facs_rezone_max) + tech_6_4*TblTech[[#This Row],[6-4]] + tech_10_2*TblTech[[#This Row],[10-2]] - IF(TblMagic[[#This Row],[Active Mechanical Genius]]&gt;0,mech_genius_bonus,0) + race_rezone_cost) * TblRezone[[#This Row],[Plat/acre*]],0)</f>
        <v>100</v>
      </c>
      <c r="Y18" s="113">
        <f ca="1">TblRezone[[#This Row],[Total acres]]*TblRezone[[#This Row],[Plat/acre]]</f>
        <v>0</v>
      </c>
      <c r="Z18" s="281"/>
      <c r="AA18" s="113">
        <f ca="1">250+0.6*(TblRezone[[#This Row],[Land]]-250)</f>
        <v>250</v>
      </c>
      <c r="AB18" s="281"/>
      <c r="AC18" s="203">
        <f ca="1">TblConstr[[#This Row],[Facs DB]]</f>
        <v>0.18</v>
      </c>
    </row>
    <row r="19" spans="1:29" x14ac:dyDescent="0.2">
      <c r="A19" s="280">
        <f ca="1">TblConstr[[#This Row],[Land]]</f>
        <v>250</v>
      </c>
      <c r="B19" s="282">
        <f ca="1">TblConstr[[#This Row],[Plain]]</f>
        <v>0</v>
      </c>
      <c r="C19" s="236">
        <f ca="1">TblConstr[[#This Row],[Forest]]</f>
        <v>0</v>
      </c>
      <c r="D19" s="478">
        <f ca="1">TblConstr[[#This Row],[Mountain]]</f>
        <v>0</v>
      </c>
      <c r="E19" s="482">
        <f ca="1">TblConstr[[#This Row],[Hill]]</f>
        <v>0</v>
      </c>
      <c r="F19" s="486">
        <f ca="1">TblConstr[[#This Row],[Swamp]]</f>
        <v>0</v>
      </c>
      <c r="G19" s="239">
        <f ca="1">TblConstr[[#This Row],[Cavern]]</f>
        <v>0</v>
      </c>
      <c r="H19" s="240">
        <f ca="1">TblConstr[[#This Row],[Water]]</f>
        <v>0</v>
      </c>
      <c r="I19" s="281"/>
      <c r="J19" s="228">
        <f t="shared" si="1"/>
        <v>16</v>
      </c>
      <c r="K19" s="305">
        <f ca="1">TblImps[[#This Row],[Real time]]</f>
        <v>44405.374999999964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71413</v>
      </c>
      <c r="W19" s="281"/>
      <c r="X19" s="113">
        <f ca="1">ROUNDUP( (1-MIN(ROUND(facs_rezone_factor*TblRezone[[#This Row],[Facs]],4),facs_rezone_max) + tech_6_4*TblTech[[#This Row],[6-4]] + tech_10_2*TblTech[[#This Row],[10-2]] - IF(TblMagic[[#This Row],[Active Mechanical Genius]]&gt;0,mech_genius_bonus,0) + race_rezone_cost) * TblRezone[[#This Row],[Plat/acre*]],0)</f>
        <v>100</v>
      </c>
      <c r="Y19" s="113">
        <f ca="1">TblRezone[[#This Row],[Total acres]]*TblRezone[[#This Row],[Plat/acre]]</f>
        <v>0</v>
      </c>
      <c r="Z19" s="281"/>
      <c r="AA19" s="113">
        <f ca="1">250+0.6*(TblRezone[[#This Row],[Land]]-250)</f>
        <v>250</v>
      </c>
      <c r="AB19" s="281"/>
      <c r="AC19" s="203">
        <f ca="1">TblConstr[[#This Row],[Facs DB]]</f>
        <v>0.18</v>
      </c>
    </row>
    <row r="20" spans="1:29" x14ac:dyDescent="0.2">
      <c r="A20" s="280">
        <f ca="1">TblConstr[[#This Row],[Land]]</f>
        <v>250</v>
      </c>
      <c r="B20" s="282">
        <f ca="1">TblConstr[[#This Row],[Plain]]</f>
        <v>0</v>
      </c>
      <c r="C20" s="236">
        <f ca="1">TblConstr[[#This Row],[Forest]]</f>
        <v>0</v>
      </c>
      <c r="D20" s="478">
        <f ca="1">TblConstr[[#This Row],[Mountain]]</f>
        <v>0</v>
      </c>
      <c r="E20" s="482">
        <f ca="1">TblConstr[[#This Row],[Hill]]</f>
        <v>0</v>
      </c>
      <c r="F20" s="486">
        <f ca="1">TblConstr[[#This Row],[Swamp]]</f>
        <v>0</v>
      </c>
      <c r="G20" s="239">
        <f ca="1">TblConstr[[#This Row],[Cavern]]</f>
        <v>0</v>
      </c>
      <c r="H20" s="240">
        <f ca="1">TblConstr[[#This Row],[Water]]</f>
        <v>0</v>
      </c>
      <c r="I20" s="281"/>
      <c r="J20" s="228">
        <f t="shared" si="1"/>
        <v>17</v>
      </c>
      <c r="K20" s="305">
        <f ca="1">TblImps[[#This Row],[Real time]]</f>
        <v>44405.416666666628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78523</v>
      </c>
      <c r="W20" s="281"/>
      <c r="X20" s="113">
        <f ca="1">ROUNDUP( (1-MIN(ROUND(facs_rezone_factor*TblRezone[[#This Row],[Facs]],4),facs_rezone_max) + tech_6_4*TblTech[[#This Row],[6-4]] + tech_10_2*TblTech[[#This Row],[10-2]] - IF(TblMagic[[#This Row],[Active Mechanical Genius]]&gt;0,mech_genius_bonus,0) + race_rezone_cost) * TblRezone[[#This Row],[Plat/acre*]],0)</f>
        <v>100</v>
      </c>
      <c r="Y20" s="113">
        <f ca="1">TblRezone[[#This Row],[Total acres]]*TblRezone[[#This Row],[Plat/acre]]</f>
        <v>0</v>
      </c>
      <c r="Z20" s="281"/>
      <c r="AA20" s="113">
        <f ca="1">250+0.6*(TblRezone[[#This Row],[Land]]-250)</f>
        <v>250</v>
      </c>
      <c r="AB20" s="281"/>
      <c r="AC20" s="203">
        <f ca="1">TblConstr[[#This Row],[Facs DB]]</f>
        <v>0.18</v>
      </c>
    </row>
    <row r="21" spans="1:29" x14ac:dyDescent="0.2">
      <c r="A21" s="280">
        <f ca="1">TblConstr[[#This Row],[Land]]</f>
        <v>250</v>
      </c>
      <c r="B21" s="282">
        <f ca="1">TblConstr[[#This Row],[Plain]]</f>
        <v>0</v>
      </c>
      <c r="C21" s="236">
        <f ca="1">TblConstr[[#This Row],[Forest]]</f>
        <v>0</v>
      </c>
      <c r="D21" s="478">
        <f ca="1">TblConstr[[#This Row],[Mountain]]</f>
        <v>0</v>
      </c>
      <c r="E21" s="482">
        <f ca="1">TblConstr[[#This Row],[Hill]]</f>
        <v>0</v>
      </c>
      <c r="F21" s="486">
        <f ca="1">TblConstr[[#This Row],[Swamp]]</f>
        <v>0</v>
      </c>
      <c r="G21" s="239">
        <f ca="1">TblConstr[[#This Row],[Cavern]]</f>
        <v>0</v>
      </c>
      <c r="H21" s="240">
        <f ca="1">TblConstr[[#This Row],[Water]]</f>
        <v>0</v>
      </c>
      <c r="I21" s="281"/>
      <c r="J21" s="228">
        <f t="shared" si="1"/>
        <v>18</v>
      </c>
      <c r="K21" s="305">
        <f ca="1">TblImps[[#This Row],[Real time]]</f>
        <v>44405.458333333292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85906</v>
      </c>
      <c r="W21" s="281"/>
      <c r="X21" s="113">
        <f ca="1">ROUNDUP( (1-MIN(ROUND(facs_rezone_factor*TblRezone[[#This Row],[Facs]],4),facs_rezone_max) + tech_6_4*TblTech[[#This Row],[6-4]] + tech_10_2*TblTech[[#This Row],[10-2]] - IF(TblMagic[[#This Row],[Active Mechanical Genius]]&gt;0,mech_genius_bonus,0) + race_rezone_cost) * TblRezone[[#This Row],[Plat/acre*]],0)</f>
        <v>100</v>
      </c>
      <c r="Y21" s="113">
        <f ca="1">TblRezone[[#This Row],[Total acres]]*TblRezone[[#This Row],[Plat/acre]]</f>
        <v>0</v>
      </c>
      <c r="Z21" s="281"/>
      <c r="AA21" s="113">
        <f ca="1">250+0.6*(TblRezone[[#This Row],[Land]]-250)</f>
        <v>250</v>
      </c>
      <c r="AB21" s="281"/>
      <c r="AC21" s="203">
        <f ca="1">TblConstr[[#This Row],[Facs DB]]</f>
        <v>0.18</v>
      </c>
    </row>
    <row r="22" spans="1:29" x14ac:dyDescent="0.2">
      <c r="A22" s="280">
        <f ca="1">TblConstr[[#This Row],[Land]]</f>
        <v>250</v>
      </c>
      <c r="B22" s="282">
        <f ca="1">TblConstr[[#This Row],[Plain]]</f>
        <v>0</v>
      </c>
      <c r="C22" s="236">
        <f ca="1">TblConstr[[#This Row],[Forest]]</f>
        <v>0</v>
      </c>
      <c r="D22" s="478">
        <f ca="1">TblConstr[[#This Row],[Mountain]]</f>
        <v>0</v>
      </c>
      <c r="E22" s="482">
        <f ca="1">TblConstr[[#This Row],[Hill]]</f>
        <v>0</v>
      </c>
      <c r="F22" s="486">
        <f ca="1">TblConstr[[#This Row],[Swamp]]</f>
        <v>0</v>
      </c>
      <c r="G22" s="239">
        <f ca="1">TblConstr[[#This Row],[Cavern]]</f>
        <v>0</v>
      </c>
      <c r="H22" s="240">
        <f ca="1">TblConstr[[#This Row],[Water]]</f>
        <v>0</v>
      </c>
      <c r="I22" s="281"/>
      <c r="J22" s="228">
        <f t="shared" si="1"/>
        <v>19</v>
      </c>
      <c r="K22" s="305">
        <f ca="1">TblImps[[#This Row],[Real time]]</f>
        <v>44405.499999999956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93577</v>
      </c>
      <c r="W22" s="281"/>
      <c r="X22" s="113">
        <f ca="1">ROUNDUP( (1-MIN(ROUND(facs_rezone_factor*TblRezone[[#This Row],[Facs]],4),facs_rezone_max) + tech_6_4*TblTech[[#This Row],[6-4]] + tech_10_2*TblTech[[#This Row],[10-2]] - IF(TblMagic[[#This Row],[Active Mechanical Genius]]&gt;0,mech_genius_bonus,0) + race_rezone_cost) * TblRezone[[#This Row],[Plat/acre*]],0)</f>
        <v>100</v>
      </c>
      <c r="Y22" s="113">
        <f ca="1">TblRezone[[#This Row],[Total acres]]*TblRezone[[#This Row],[Plat/acre]]</f>
        <v>0</v>
      </c>
      <c r="Z22" s="281"/>
      <c r="AA22" s="113">
        <f ca="1">250+0.6*(TblRezone[[#This Row],[Land]]-250)</f>
        <v>250</v>
      </c>
      <c r="AB22" s="281"/>
      <c r="AC22" s="203">
        <f ca="1">TblConstr[[#This Row],[Facs DB]]</f>
        <v>0.18</v>
      </c>
    </row>
    <row r="23" spans="1:29" x14ac:dyDescent="0.2">
      <c r="A23" s="280">
        <f ca="1">TblConstr[[#This Row],[Land]]</f>
        <v>250</v>
      </c>
      <c r="B23" s="282">
        <f ca="1">TblConstr[[#This Row],[Plain]]</f>
        <v>0</v>
      </c>
      <c r="C23" s="236">
        <f ca="1">TblConstr[[#This Row],[Forest]]</f>
        <v>0</v>
      </c>
      <c r="D23" s="478">
        <f ca="1">TblConstr[[#This Row],[Mountain]]</f>
        <v>0</v>
      </c>
      <c r="E23" s="482">
        <f ca="1">TblConstr[[#This Row],[Hill]]</f>
        <v>0</v>
      </c>
      <c r="F23" s="486">
        <f ca="1">TblConstr[[#This Row],[Swamp]]</f>
        <v>0</v>
      </c>
      <c r="G23" s="239">
        <f ca="1">TblConstr[[#This Row],[Cavern]]</f>
        <v>0</v>
      </c>
      <c r="H23" s="240">
        <f ca="1">TblConstr[[#This Row],[Water]]</f>
        <v>0</v>
      </c>
      <c r="I23" s="281"/>
      <c r="J23" s="228">
        <f t="shared" si="1"/>
        <v>20</v>
      </c>
      <c r="K23" s="305">
        <f ca="1">TblImps[[#This Row],[Real time]]</f>
        <v>44405.541666666621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101548</v>
      </c>
      <c r="W23" s="281"/>
      <c r="X23" s="113">
        <f ca="1">ROUNDUP( (1-MIN(ROUND(facs_rezone_factor*TblRezone[[#This Row],[Facs]],4),facs_rezone_max) + tech_6_4*TblTech[[#This Row],[6-4]] + tech_10_2*TblTech[[#This Row],[10-2]] - IF(TblMagic[[#This Row],[Active Mechanical Genius]]&gt;0,mech_genius_bonus,0) + race_rezone_cost) * TblRezone[[#This Row],[Plat/acre*]],0)</f>
        <v>100</v>
      </c>
      <c r="Y23" s="113">
        <f ca="1">TblRezone[[#This Row],[Total acres]]*TblRezone[[#This Row],[Plat/acre]]</f>
        <v>0</v>
      </c>
      <c r="Z23" s="281"/>
      <c r="AA23" s="113">
        <f ca="1">250+0.6*(TblRezone[[#This Row],[Land]]-250)</f>
        <v>250</v>
      </c>
      <c r="AB23" s="281"/>
      <c r="AC23" s="203">
        <f ca="1">TblConstr[[#This Row],[Facs DB]]</f>
        <v>0.18</v>
      </c>
    </row>
    <row r="24" spans="1:29" x14ac:dyDescent="0.2">
      <c r="A24" s="280">
        <f ca="1">TblConstr[[#This Row],[Land]]</f>
        <v>250</v>
      </c>
      <c r="B24" s="282">
        <f ca="1">TblConstr[[#This Row],[Plain]]</f>
        <v>0</v>
      </c>
      <c r="C24" s="236">
        <f ca="1">TblConstr[[#This Row],[Forest]]</f>
        <v>0</v>
      </c>
      <c r="D24" s="478">
        <f ca="1">TblConstr[[#This Row],[Mountain]]</f>
        <v>0</v>
      </c>
      <c r="E24" s="482">
        <f ca="1">TblConstr[[#This Row],[Hill]]</f>
        <v>0</v>
      </c>
      <c r="F24" s="486">
        <f ca="1">TblConstr[[#This Row],[Swamp]]</f>
        <v>0</v>
      </c>
      <c r="G24" s="239">
        <f ca="1">TblConstr[[#This Row],[Cavern]]</f>
        <v>0</v>
      </c>
      <c r="H24" s="240">
        <f ca="1">TblConstr[[#This Row],[Water]]</f>
        <v>0</v>
      </c>
      <c r="I24" s="281"/>
      <c r="J24" s="228">
        <f t="shared" si="1"/>
        <v>21</v>
      </c>
      <c r="K24" s="305">
        <f ca="1">TblImps[[#This Row],[Real time]]</f>
        <v>44405.583333333285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109834</v>
      </c>
      <c r="W24" s="281"/>
      <c r="X24" s="113">
        <f ca="1">ROUNDUP( (1-MIN(ROUND(facs_rezone_factor*TblRezone[[#This Row],[Facs]],4),facs_rezone_max) + tech_6_4*TblTech[[#This Row],[6-4]] + tech_10_2*TblTech[[#This Row],[10-2]] - IF(TblMagic[[#This Row],[Active Mechanical Genius]]&gt;0,mech_genius_bonus,0) + race_rezone_cost) * TblRezone[[#This Row],[Plat/acre*]],0)</f>
        <v>100</v>
      </c>
      <c r="Y24" s="113">
        <f ca="1">TblRezone[[#This Row],[Total acres]]*TblRezone[[#This Row],[Plat/acre]]</f>
        <v>0</v>
      </c>
      <c r="Z24" s="281"/>
      <c r="AA24" s="113">
        <f ca="1">250+0.6*(TblRezone[[#This Row],[Land]]-250)</f>
        <v>250</v>
      </c>
      <c r="AB24" s="281"/>
      <c r="AC24" s="203">
        <f ca="1">TblConstr[[#This Row],[Facs DB]]</f>
        <v>0.18</v>
      </c>
    </row>
    <row r="25" spans="1:29" x14ac:dyDescent="0.2">
      <c r="A25" s="280">
        <f ca="1">TblConstr[[#This Row],[Land]]</f>
        <v>250</v>
      </c>
      <c r="B25" s="282">
        <f ca="1">TblConstr[[#This Row],[Plain]]</f>
        <v>0</v>
      </c>
      <c r="C25" s="236">
        <f ca="1">TblConstr[[#This Row],[Forest]]</f>
        <v>0</v>
      </c>
      <c r="D25" s="478">
        <f ca="1">TblConstr[[#This Row],[Mountain]]</f>
        <v>0</v>
      </c>
      <c r="E25" s="482">
        <f ca="1">TblConstr[[#This Row],[Hill]]</f>
        <v>0</v>
      </c>
      <c r="F25" s="486">
        <f ca="1">TblConstr[[#This Row],[Swamp]]</f>
        <v>0</v>
      </c>
      <c r="G25" s="239">
        <f ca="1">TblConstr[[#This Row],[Cavern]]</f>
        <v>0</v>
      </c>
      <c r="H25" s="240">
        <f ca="1">TblConstr[[#This Row],[Water]]</f>
        <v>0</v>
      </c>
      <c r="I25" s="281"/>
      <c r="J25" s="228">
        <f t="shared" si="1"/>
        <v>22</v>
      </c>
      <c r="K25" s="305">
        <f ca="1">TblImps[[#This Row],[Real time]]</f>
        <v>44405.624999999949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118452</v>
      </c>
      <c r="W25" s="281"/>
      <c r="X25" s="113">
        <f ca="1">ROUNDUP( (1-MIN(ROUND(facs_rezone_factor*TblRezone[[#This Row],[Facs]],4),facs_rezone_max) + tech_6_4*TblTech[[#This Row],[6-4]] + tech_10_2*TblTech[[#This Row],[10-2]] - IF(TblMagic[[#This Row],[Active Mechanical Genius]]&gt;0,mech_genius_bonus,0) + race_rezone_cost) * TblRezone[[#This Row],[Plat/acre*]],0)</f>
        <v>100</v>
      </c>
      <c r="Y25" s="113">
        <f ca="1">TblRezone[[#This Row],[Total acres]]*TblRezone[[#This Row],[Plat/acre]]</f>
        <v>0</v>
      </c>
      <c r="Z25" s="281"/>
      <c r="AA25" s="113">
        <f ca="1">250+0.6*(TblRezone[[#This Row],[Land]]-250)</f>
        <v>250</v>
      </c>
      <c r="AB25" s="281"/>
      <c r="AC25" s="203">
        <f ca="1">TblConstr[[#This Row],[Facs DB]]</f>
        <v>0.18</v>
      </c>
    </row>
    <row r="26" spans="1:29" x14ac:dyDescent="0.2">
      <c r="A26" s="280">
        <f ca="1">TblConstr[[#This Row],[Land]]</f>
        <v>250</v>
      </c>
      <c r="B26" s="282">
        <f ca="1">TblConstr[[#This Row],[Plain]]</f>
        <v>0</v>
      </c>
      <c r="C26" s="236">
        <f ca="1">TblConstr[[#This Row],[Forest]]</f>
        <v>0</v>
      </c>
      <c r="D26" s="478">
        <f ca="1">TblConstr[[#This Row],[Mountain]]</f>
        <v>0</v>
      </c>
      <c r="E26" s="482">
        <f ca="1">TblConstr[[#This Row],[Hill]]</f>
        <v>0</v>
      </c>
      <c r="F26" s="486">
        <f ca="1">TblConstr[[#This Row],[Swamp]]</f>
        <v>0</v>
      </c>
      <c r="G26" s="239">
        <f ca="1">TblConstr[[#This Row],[Cavern]]</f>
        <v>0</v>
      </c>
      <c r="H26" s="240">
        <f ca="1">TblConstr[[#This Row],[Water]]</f>
        <v>0</v>
      </c>
      <c r="I26" s="281"/>
      <c r="J26" s="228">
        <f t="shared" si="1"/>
        <v>23</v>
      </c>
      <c r="K26" s="305">
        <f ca="1">TblImps[[#This Row],[Real time]]</f>
        <v>44405.666666666613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127418</v>
      </c>
      <c r="W26" s="281"/>
      <c r="X26" s="113">
        <f ca="1">ROUNDUP( (1-MIN(ROUND(facs_rezone_factor*TblRezone[[#This Row],[Facs]],4),facs_rezone_max) + tech_6_4*TblTech[[#This Row],[6-4]] + tech_10_2*TblTech[[#This Row],[10-2]] - IF(TblMagic[[#This Row],[Active Mechanical Genius]]&gt;0,mech_genius_bonus,0) + race_rezone_cost) * TblRezone[[#This Row],[Plat/acre*]],0)</f>
        <v>100</v>
      </c>
      <c r="Y26" s="113">
        <f ca="1">TblRezone[[#This Row],[Total acres]]*TblRezone[[#This Row],[Plat/acre]]</f>
        <v>0</v>
      </c>
      <c r="Z26" s="281"/>
      <c r="AA26" s="113">
        <f ca="1">250+0.6*(TblRezone[[#This Row],[Land]]-250)</f>
        <v>250</v>
      </c>
      <c r="AB26" s="281"/>
      <c r="AC26" s="203">
        <f ca="1">TblConstr[[#This Row],[Facs DB]]</f>
        <v>0.18</v>
      </c>
    </row>
    <row r="27" spans="1:29" x14ac:dyDescent="0.2">
      <c r="A27" s="280">
        <f ca="1">TblConstr[[#This Row],[Land]]</f>
        <v>270</v>
      </c>
      <c r="B27" s="282">
        <f ca="1">TblConstr[[#This Row],[Plain]]</f>
        <v>0</v>
      </c>
      <c r="C27" s="236">
        <f ca="1">TblConstr[[#This Row],[Forest]]</f>
        <v>0</v>
      </c>
      <c r="D27" s="478">
        <f ca="1">TblConstr[[#This Row],[Mountain]]</f>
        <v>0</v>
      </c>
      <c r="E27" s="482">
        <f ca="1">TblConstr[[#This Row],[Hill]]</f>
        <v>0</v>
      </c>
      <c r="F27" s="486">
        <f ca="1">TblConstr[[#This Row],[Swamp]]</f>
        <v>0</v>
      </c>
      <c r="G27" s="239">
        <f ca="1">TblConstr[[#This Row],[Cavern]]</f>
        <v>0</v>
      </c>
      <c r="H27" s="240">
        <f ca="1">TblConstr[[#This Row],[Water]]</f>
        <v>0</v>
      </c>
      <c r="I27" s="281"/>
      <c r="J27" s="228">
        <f t="shared" si="1"/>
        <v>24</v>
      </c>
      <c r="K27" s="305">
        <f ca="1">TblImps[[#This Row],[Real time]]</f>
        <v>44405.708333333278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26283</v>
      </c>
      <c r="W27" s="281"/>
      <c r="X27" s="113">
        <f ca="1">ROUNDUP( (1-MIN(ROUND(facs_rezone_factor*TblRezone[[#This Row],[Facs]],4),facs_rezone_max) + tech_6_4*TblTech[[#This Row],[6-4]] + tech_10_2*TblTech[[#This Row],[10-2]] - IF(TblMagic[[#This Row],[Active Mechanical Genius]]&gt;0,mech_genius_bonus,0) + race_rezone_cost) * TblRezone[[#This Row],[Plat/acre*]],0)</f>
        <v>105</v>
      </c>
      <c r="Y27" s="113">
        <f ca="1">TblRezone[[#This Row],[Total acres]]*TblRezone[[#This Row],[Plat/acre]]</f>
        <v>0</v>
      </c>
      <c r="Z27" s="281"/>
      <c r="AA27" s="113">
        <f ca="1">250+0.6*(TblRezone[[#This Row],[Land]]-250)</f>
        <v>262</v>
      </c>
      <c r="AB27" s="281"/>
      <c r="AC27" s="203">
        <f ca="1">TblConstr[[#This Row],[Facs DB]]</f>
        <v>0.16666666666666666</v>
      </c>
    </row>
    <row r="28" spans="1:29" x14ac:dyDescent="0.2">
      <c r="A28" s="280">
        <f ca="1">TblConstr[[#This Row],[Land]]</f>
        <v>299</v>
      </c>
      <c r="B28" s="282">
        <f ca="1">TblConstr[[#This Row],[Plain]]</f>
        <v>0</v>
      </c>
      <c r="C28" s="236">
        <f ca="1">TblConstr[[#This Row],[Forest]]</f>
        <v>0</v>
      </c>
      <c r="D28" s="478">
        <f ca="1">TblConstr[[#This Row],[Mountain]]</f>
        <v>0</v>
      </c>
      <c r="E28" s="482">
        <f ca="1">TblConstr[[#This Row],[Hill]]</f>
        <v>0</v>
      </c>
      <c r="F28" s="486">
        <f ca="1">TblConstr[[#This Row],[Swamp]]</f>
        <v>0</v>
      </c>
      <c r="G28" s="239">
        <f ca="1">TblConstr[[#This Row],[Cavern]]</f>
        <v>0</v>
      </c>
      <c r="H28" s="240">
        <f ca="1">TblConstr[[#This Row],[Water]]</f>
        <v>0</v>
      </c>
      <c r="I28" s="281"/>
      <c r="J28" s="228">
        <f t="shared" si="1"/>
        <v>25</v>
      </c>
      <c r="K28" s="305">
        <f ca="1">TblImps[[#This Row],[Real time]]</f>
        <v>44405.749999999942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28117</v>
      </c>
      <c r="W28" s="281"/>
      <c r="X28" s="113">
        <f ca="1">ROUNDUP( (1-MIN(ROUND(facs_rezone_factor*TblRezone[[#This Row],[Facs]],4),facs_rezone_max) + tech_6_4*TblTech[[#This Row],[6-4]] + tech_10_2*TblTech[[#This Row],[10-2]] - IF(TblMagic[[#This Row],[Active Mechanical Genius]]&gt;0,mech_genius_bonus,0) + race_rezone_cost) * TblRezone[[#This Row],[Plat/acre*]],0)</f>
        <v>112</v>
      </c>
      <c r="Y28" s="113">
        <f ca="1">TblRezone[[#This Row],[Total acres]]*TblRezone[[#This Row],[Plat/acre]]</f>
        <v>0</v>
      </c>
      <c r="Z28" s="281"/>
      <c r="AA28" s="113">
        <f ca="1">250+0.6*(TblRezone[[#This Row],[Land]]-250)</f>
        <v>279.39999999999998</v>
      </c>
      <c r="AB28" s="281"/>
      <c r="AC28" s="203">
        <f ca="1">TblConstr[[#This Row],[Facs DB]]</f>
        <v>0.15050167224080269</v>
      </c>
    </row>
    <row r="29" spans="1:29" x14ac:dyDescent="0.2">
      <c r="A29" s="280">
        <f ca="1">TblConstr[[#This Row],[Land]]</f>
        <v>299</v>
      </c>
      <c r="B29" s="282">
        <f ca="1">TblConstr[[#This Row],[Plain]]</f>
        <v>0</v>
      </c>
      <c r="C29" s="236">
        <f ca="1">TblConstr[[#This Row],[Forest]]</f>
        <v>0</v>
      </c>
      <c r="D29" s="478">
        <f ca="1">TblConstr[[#This Row],[Mountain]]</f>
        <v>0</v>
      </c>
      <c r="E29" s="482">
        <f ca="1">TblConstr[[#This Row],[Hill]]</f>
        <v>0</v>
      </c>
      <c r="F29" s="486">
        <f ca="1">TblConstr[[#This Row],[Swamp]]</f>
        <v>0</v>
      </c>
      <c r="G29" s="239">
        <f ca="1">TblConstr[[#This Row],[Cavern]]</f>
        <v>0</v>
      </c>
      <c r="H29" s="240">
        <f ca="1">TblConstr[[#This Row],[Water]]</f>
        <v>0</v>
      </c>
      <c r="I29" s="281"/>
      <c r="J29" s="228">
        <f t="shared" si="1"/>
        <v>26</v>
      </c>
      <c r="K29" s="305">
        <f ca="1">TblImps[[#This Row],[Real time]]</f>
        <v>44405.791666666606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40192</v>
      </c>
      <c r="W29" s="281"/>
      <c r="X29" s="113">
        <f ca="1">ROUNDUP( (1-MIN(ROUND(facs_rezone_factor*TblRezone[[#This Row],[Facs]],4),facs_rezone_max) + tech_6_4*TblTech[[#This Row],[6-4]] + tech_10_2*TblTech[[#This Row],[10-2]] - IF(TblMagic[[#This Row],[Active Mechanical Genius]]&gt;0,mech_genius_bonus,0) + race_rezone_cost) * TblRezone[[#This Row],[Plat/acre*]],0)</f>
        <v>112</v>
      </c>
      <c r="Y29" s="113">
        <f ca="1">TblRezone[[#This Row],[Total acres]]*TblRezone[[#This Row],[Plat/acre]]</f>
        <v>0</v>
      </c>
      <c r="Z29" s="281"/>
      <c r="AA29" s="113">
        <f ca="1">250+0.6*(TblRezone[[#This Row],[Land]]-250)</f>
        <v>279.39999999999998</v>
      </c>
      <c r="AB29" s="281"/>
      <c r="AC29" s="203">
        <f ca="1">TblConstr[[#This Row],[Facs DB]]</f>
        <v>0.15050167224080269</v>
      </c>
    </row>
    <row r="30" spans="1:29" x14ac:dyDescent="0.2">
      <c r="A30" s="280">
        <f ca="1">TblConstr[[#This Row],[Land]]</f>
        <v>299</v>
      </c>
      <c r="B30" s="282">
        <f ca="1">TblConstr[[#This Row],[Plain]]</f>
        <v>0</v>
      </c>
      <c r="C30" s="236">
        <f ca="1">TblConstr[[#This Row],[Forest]]</f>
        <v>0</v>
      </c>
      <c r="D30" s="478">
        <f ca="1">TblConstr[[#This Row],[Mountain]]</f>
        <v>0</v>
      </c>
      <c r="E30" s="482">
        <f ca="1">TblConstr[[#This Row],[Hill]]</f>
        <v>0</v>
      </c>
      <c r="F30" s="486">
        <f ca="1">TblConstr[[#This Row],[Swamp]]</f>
        <v>0</v>
      </c>
      <c r="G30" s="239">
        <f ca="1">TblConstr[[#This Row],[Cavern]]</f>
        <v>0</v>
      </c>
      <c r="H30" s="240">
        <f ca="1">TblConstr[[#This Row],[Water]]</f>
        <v>0</v>
      </c>
      <c r="I30" s="281"/>
      <c r="J30" s="228">
        <f t="shared" si="1"/>
        <v>27</v>
      </c>
      <c r="K30" s="305">
        <f ca="1">TblImps[[#This Row],[Real time]]</f>
        <v>44405.83333333327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52667</v>
      </c>
      <c r="W30" s="281"/>
      <c r="X30" s="113">
        <f ca="1">ROUNDUP( (1-MIN(ROUND(facs_rezone_factor*TblRezone[[#This Row],[Facs]],4),facs_rezone_max) + tech_6_4*TblTech[[#This Row],[6-4]] + tech_10_2*TblTech[[#This Row],[10-2]] - IF(TblMagic[[#This Row],[Active Mechanical Genius]]&gt;0,mech_genius_bonus,0) + race_rezone_cost) * TblRezone[[#This Row],[Plat/acre*]],0)</f>
        <v>112</v>
      </c>
      <c r="Y30" s="113">
        <f ca="1">TblRezone[[#This Row],[Total acres]]*TblRezone[[#This Row],[Plat/acre]]</f>
        <v>0</v>
      </c>
      <c r="Z30" s="281"/>
      <c r="AA30" s="113">
        <f ca="1">250+0.6*(TblRezone[[#This Row],[Land]]-250)</f>
        <v>279.39999999999998</v>
      </c>
      <c r="AB30" s="281"/>
      <c r="AC30" s="203">
        <f ca="1">TblConstr[[#This Row],[Facs DB]]</f>
        <v>0.15050167224080269</v>
      </c>
    </row>
    <row r="31" spans="1:29" x14ac:dyDescent="0.2">
      <c r="A31" s="280">
        <f ca="1">TblConstr[[#This Row],[Land]]</f>
        <v>299</v>
      </c>
      <c r="B31" s="282">
        <f ca="1">TblConstr[[#This Row],[Plain]]</f>
        <v>0</v>
      </c>
      <c r="C31" s="236">
        <f ca="1">TblConstr[[#This Row],[Forest]]</f>
        <v>0</v>
      </c>
      <c r="D31" s="478">
        <f ca="1">TblConstr[[#This Row],[Mountain]]</f>
        <v>0</v>
      </c>
      <c r="E31" s="482">
        <f ca="1">TblConstr[[#This Row],[Hill]]</f>
        <v>0</v>
      </c>
      <c r="F31" s="486">
        <f ca="1">TblConstr[[#This Row],[Swamp]]</f>
        <v>0</v>
      </c>
      <c r="G31" s="239">
        <f ca="1">TblConstr[[#This Row],[Cavern]]</f>
        <v>0</v>
      </c>
      <c r="H31" s="240">
        <f ca="1">TblConstr[[#This Row],[Water]]</f>
        <v>0</v>
      </c>
      <c r="I31" s="281"/>
      <c r="J31" s="228">
        <f t="shared" si="1"/>
        <v>28</v>
      </c>
      <c r="K31" s="305">
        <f ca="1">TblImps[[#This Row],[Real time]]</f>
        <v>44405.874999999935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65561</v>
      </c>
      <c r="W31" s="281"/>
      <c r="X31" s="113">
        <f ca="1">ROUNDUP( (1-MIN(ROUND(facs_rezone_factor*TblRezone[[#This Row],[Facs]],4),facs_rezone_max) + tech_6_4*TblTech[[#This Row],[6-4]] + tech_10_2*TblTech[[#This Row],[10-2]] - IF(TblMagic[[#This Row],[Active Mechanical Genius]]&gt;0,mech_genius_bonus,0) + race_rezone_cost) * TblRezone[[#This Row],[Plat/acre*]],0)</f>
        <v>112</v>
      </c>
      <c r="Y31" s="113">
        <f ca="1">TblRezone[[#This Row],[Total acres]]*TblRezone[[#This Row],[Plat/acre]]</f>
        <v>0</v>
      </c>
      <c r="Z31" s="281"/>
      <c r="AA31" s="113">
        <f ca="1">250+0.6*(TblRezone[[#This Row],[Land]]-250)</f>
        <v>279.39999999999998</v>
      </c>
      <c r="AB31" s="281"/>
      <c r="AC31" s="203">
        <f ca="1">TblConstr[[#This Row],[Facs DB]]</f>
        <v>0.15050167224080269</v>
      </c>
    </row>
    <row r="32" spans="1:29" x14ac:dyDescent="0.2">
      <c r="A32" s="280">
        <f ca="1">TblConstr[[#This Row],[Land]]</f>
        <v>299</v>
      </c>
      <c r="B32" s="282">
        <f ca="1">TblConstr[[#This Row],[Plain]]</f>
        <v>0</v>
      </c>
      <c r="C32" s="236">
        <f ca="1">TblConstr[[#This Row],[Forest]]</f>
        <v>0</v>
      </c>
      <c r="D32" s="478">
        <f ca="1">TblConstr[[#This Row],[Mountain]]</f>
        <v>0</v>
      </c>
      <c r="E32" s="482">
        <f ca="1">TblConstr[[#This Row],[Hill]]</f>
        <v>0</v>
      </c>
      <c r="F32" s="486">
        <f ca="1">TblConstr[[#This Row],[Swamp]]</f>
        <v>0</v>
      </c>
      <c r="G32" s="239">
        <f ca="1">TblConstr[[#This Row],[Cavern]]</f>
        <v>0</v>
      </c>
      <c r="H32" s="240">
        <f ca="1">TblConstr[[#This Row],[Water]]</f>
        <v>0</v>
      </c>
      <c r="I32" s="281"/>
      <c r="J32" s="228">
        <f t="shared" si="1"/>
        <v>29</v>
      </c>
      <c r="K32" s="305">
        <f ca="1">TblImps[[#This Row],[Real time]]</f>
        <v>44405.916666666599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78892</v>
      </c>
      <c r="W32" s="281"/>
      <c r="X32" s="113">
        <f ca="1">ROUNDUP( (1-MIN(ROUND(facs_rezone_factor*TblRezone[[#This Row],[Facs]],4),facs_rezone_max) + tech_6_4*TblTech[[#This Row],[6-4]] + tech_10_2*TblTech[[#This Row],[10-2]] - IF(TblMagic[[#This Row],[Active Mechanical Genius]]&gt;0,mech_genius_bonus,0) + race_rezone_cost) * TblRezone[[#This Row],[Plat/acre*]],0)</f>
        <v>112</v>
      </c>
      <c r="Y32" s="113">
        <f ca="1">TblRezone[[#This Row],[Total acres]]*TblRezone[[#This Row],[Plat/acre]]</f>
        <v>0</v>
      </c>
      <c r="Z32" s="281"/>
      <c r="AA32" s="113">
        <f ca="1">250+0.6*(TblRezone[[#This Row],[Land]]-250)</f>
        <v>279.39999999999998</v>
      </c>
      <c r="AB32" s="281"/>
      <c r="AC32" s="203">
        <f ca="1">TblConstr[[#This Row],[Facs DB]]</f>
        <v>0.15050167224080269</v>
      </c>
    </row>
    <row r="33" spans="1:29" x14ac:dyDescent="0.2">
      <c r="A33" s="280">
        <f ca="1">TblConstr[[#This Row],[Land]]</f>
        <v>299</v>
      </c>
      <c r="B33" s="282">
        <f ca="1">TblConstr[[#This Row],[Plain]]</f>
        <v>0</v>
      </c>
      <c r="C33" s="236">
        <f ca="1">TblConstr[[#This Row],[Forest]]</f>
        <v>0</v>
      </c>
      <c r="D33" s="478">
        <f ca="1">TblConstr[[#This Row],[Mountain]]</f>
        <v>0</v>
      </c>
      <c r="E33" s="482">
        <f ca="1">TblConstr[[#This Row],[Hill]]</f>
        <v>0</v>
      </c>
      <c r="F33" s="486">
        <f ca="1">TblConstr[[#This Row],[Swamp]]</f>
        <v>0</v>
      </c>
      <c r="G33" s="239">
        <f ca="1">TblConstr[[#This Row],[Cavern]]</f>
        <v>0</v>
      </c>
      <c r="H33" s="240">
        <f ca="1">TblConstr[[#This Row],[Water]]</f>
        <v>0</v>
      </c>
      <c r="I33" s="281"/>
      <c r="J33" s="228">
        <f t="shared" si="1"/>
        <v>30</v>
      </c>
      <c r="K33" s="305">
        <f ca="1">TblImps[[#This Row],[Real time]]</f>
        <v>44405.958333333263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92683</v>
      </c>
      <c r="W33" s="281"/>
      <c r="X33" s="113">
        <f ca="1">ROUNDUP( (1-MIN(ROUND(facs_rezone_factor*TblRezone[[#This Row],[Facs]],4),facs_rezone_max) + tech_6_4*TblTech[[#This Row],[6-4]] + tech_10_2*TblTech[[#This Row],[10-2]] - IF(TblMagic[[#This Row],[Active Mechanical Genius]]&gt;0,mech_genius_bonus,0) + race_rezone_cost) * TblRezone[[#This Row],[Plat/acre*]],0)</f>
        <v>112</v>
      </c>
      <c r="Y33" s="113">
        <f ca="1">TblRezone[[#This Row],[Total acres]]*TblRezone[[#This Row],[Plat/acre]]</f>
        <v>0</v>
      </c>
      <c r="Z33" s="281"/>
      <c r="AA33" s="113">
        <f ca="1">250+0.6*(TblRezone[[#This Row],[Land]]-250)</f>
        <v>279.39999999999998</v>
      </c>
      <c r="AB33" s="281"/>
      <c r="AC33" s="203">
        <f ca="1">TblConstr[[#This Row],[Facs DB]]</f>
        <v>0.15050167224080269</v>
      </c>
    </row>
    <row r="34" spans="1:29" x14ac:dyDescent="0.2">
      <c r="A34" s="280">
        <f ca="1">TblConstr[[#This Row],[Land]]</f>
        <v>299</v>
      </c>
      <c r="B34" s="282">
        <f ca="1">TblConstr[[#This Row],[Plain]]</f>
        <v>0</v>
      </c>
      <c r="C34" s="236">
        <f ca="1">TblConstr[[#This Row],[Forest]]</f>
        <v>0</v>
      </c>
      <c r="D34" s="478">
        <f ca="1">TblConstr[[#This Row],[Mountain]]</f>
        <v>0</v>
      </c>
      <c r="E34" s="482">
        <f ca="1">TblConstr[[#This Row],[Hill]]</f>
        <v>0</v>
      </c>
      <c r="F34" s="486">
        <f ca="1">TblConstr[[#This Row],[Swamp]]</f>
        <v>0</v>
      </c>
      <c r="G34" s="239">
        <f ca="1">TblConstr[[#This Row],[Cavern]]</f>
        <v>0</v>
      </c>
      <c r="H34" s="240">
        <f ca="1">TblConstr[[#This Row],[Water]]</f>
        <v>0</v>
      </c>
      <c r="I34" s="281"/>
      <c r="J34" s="228">
        <f t="shared" si="1"/>
        <v>31</v>
      </c>
      <c r="K34" s="305">
        <f ca="1">TblImps[[#This Row],[Real time]]</f>
        <v>44405.999999999927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106952</v>
      </c>
      <c r="W34" s="281"/>
      <c r="X34" s="113">
        <f ca="1">ROUNDUP( (1-MIN(ROUND(facs_rezone_factor*TblRezone[[#This Row],[Facs]],4),facs_rezone_max) + tech_6_4*TblTech[[#This Row],[6-4]] + tech_10_2*TblTech[[#This Row],[10-2]] - IF(TblMagic[[#This Row],[Active Mechanical Genius]]&gt;0,mech_genius_bonus,0) + race_rezone_cost) * TblRezone[[#This Row],[Plat/acre*]],0)</f>
        <v>112</v>
      </c>
      <c r="Y34" s="113">
        <f ca="1">TblRezone[[#This Row],[Total acres]]*TblRezone[[#This Row],[Plat/acre]]</f>
        <v>0</v>
      </c>
      <c r="Z34" s="281"/>
      <c r="AA34" s="113">
        <f ca="1">250+0.6*(TblRezone[[#This Row],[Land]]-250)</f>
        <v>279.39999999999998</v>
      </c>
      <c r="AB34" s="281"/>
      <c r="AC34" s="203">
        <f ca="1">TblConstr[[#This Row],[Facs DB]]</f>
        <v>0.15050167224080269</v>
      </c>
    </row>
    <row r="35" spans="1:29" x14ac:dyDescent="0.2">
      <c r="A35" s="280">
        <f ca="1">TblConstr[[#This Row],[Land]]</f>
        <v>299</v>
      </c>
      <c r="B35" s="282">
        <f ca="1">TblConstr[[#This Row],[Plain]]</f>
        <v>0</v>
      </c>
      <c r="C35" s="236">
        <f ca="1">TblConstr[[#This Row],[Forest]]</f>
        <v>0</v>
      </c>
      <c r="D35" s="478">
        <f ca="1">TblConstr[[#This Row],[Mountain]]</f>
        <v>0</v>
      </c>
      <c r="E35" s="482">
        <f ca="1">TblConstr[[#This Row],[Hill]]</f>
        <v>0</v>
      </c>
      <c r="F35" s="486">
        <f ca="1">TblConstr[[#This Row],[Swamp]]</f>
        <v>0</v>
      </c>
      <c r="G35" s="239">
        <f ca="1">TblConstr[[#This Row],[Cavern]]</f>
        <v>0</v>
      </c>
      <c r="H35" s="240">
        <f ca="1">TblConstr[[#This Row],[Water]]</f>
        <v>0</v>
      </c>
      <c r="I35" s="281"/>
      <c r="J35" s="228">
        <f t="shared" si="1"/>
        <v>32</v>
      </c>
      <c r="K35" s="305">
        <f ca="1">TblImps[[#This Row],[Real time]]</f>
        <v>44406.041666666591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121723</v>
      </c>
      <c r="W35" s="281"/>
      <c r="X35" s="113">
        <f ca="1">ROUNDUP( (1-MIN(ROUND(facs_rezone_factor*TblRezone[[#This Row],[Facs]],4),facs_rezone_max) + tech_6_4*TblTech[[#This Row],[6-4]] + tech_10_2*TblTech[[#This Row],[10-2]] - IF(TblMagic[[#This Row],[Active Mechanical Genius]]&gt;0,mech_genius_bonus,0) + race_rezone_cost) * TblRezone[[#This Row],[Plat/acre*]],0)</f>
        <v>112</v>
      </c>
      <c r="Y35" s="113">
        <f ca="1">TblRezone[[#This Row],[Total acres]]*TblRezone[[#This Row],[Plat/acre]]</f>
        <v>0</v>
      </c>
      <c r="Z35" s="281"/>
      <c r="AA35" s="113">
        <f ca="1">250+0.6*(TblRezone[[#This Row],[Land]]-250)</f>
        <v>279.39999999999998</v>
      </c>
      <c r="AB35" s="281"/>
      <c r="AC35" s="203">
        <f ca="1">TblConstr[[#This Row],[Facs DB]]</f>
        <v>0.15050167224080269</v>
      </c>
    </row>
    <row r="36" spans="1:29" x14ac:dyDescent="0.2">
      <c r="A36" s="280">
        <f ca="1">TblConstr[[#This Row],[Land]]</f>
        <v>299</v>
      </c>
      <c r="B36" s="282">
        <f ca="1">TblConstr[[#This Row],[Plain]]</f>
        <v>0</v>
      </c>
      <c r="C36" s="236">
        <f ca="1">TblConstr[[#This Row],[Forest]]</f>
        <v>0</v>
      </c>
      <c r="D36" s="478">
        <f ca="1">TblConstr[[#This Row],[Mountain]]</f>
        <v>0</v>
      </c>
      <c r="E36" s="482">
        <f ca="1">TblConstr[[#This Row],[Hill]]</f>
        <v>0</v>
      </c>
      <c r="F36" s="486">
        <f ca="1">TblConstr[[#This Row],[Swamp]]</f>
        <v>0</v>
      </c>
      <c r="G36" s="239">
        <f ca="1">TblConstr[[#This Row],[Cavern]]</f>
        <v>0</v>
      </c>
      <c r="H36" s="240">
        <f ca="1">TblConstr[[#This Row],[Water]]</f>
        <v>0</v>
      </c>
      <c r="I36" s="281"/>
      <c r="J36" s="228">
        <f t="shared" si="1"/>
        <v>33</v>
      </c>
      <c r="K36" s="305">
        <f ca="1">TblImps[[#This Row],[Real time]]</f>
        <v>44406.083333333256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137020</v>
      </c>
      <c r="W36" s="281"/>
      <c r="X36" s="113">
        <f ca="1">ROUNDUP( (1-MIN(ROUND(facs_rezone_factor*TblRezone[[#This Row],[Facs]],4),facs_rezone_max) + tech_6_4*TblTech[[#This Row],[6-4]] + tech_10_2*TblTech[[#This Row],[10-2]] - IF(TblMagic[[#This Row],[Active Mechanical Genius]]&gt;0,mech_genius_bonus,0) + race_rezone_cost) * TblRezone[[#This Row],[Plat/acre*]],0)</f>
        <v>112</v>
      </c>
      <c r="Y36" s="113">
        <f ca="1">TblRezone[[#This Row],[Total acres]]*TblRezone[[#This Row],[Plat/acre]]</f>
        <v>0</v>
      </c>
      <c r="Z36" s="281"/>
      <c r="AA36" s="113">
        <f ca="1">250+0.6*(TblRezone[[#This Row],[Land]]-250)</f>
        <v>279.39999999999998</v>
      </c>
      <c r="AB36" s="281"/>
      <c r="AC36" s="203">
        <f ca="1">TblConstr[[#This Row],[Facs DB]]</f>
        <v>0.15050167224080269</v>
      </c>
    </row>
    <row r="37" spans="1:29" x14ac:dyDescent="0.2">
      <c r="A37" s="280">
        <f ca="1">TblConstr[[#This Row],[Land]]</f>
        <v>299</v>
      </c>
      <c r="B37" s="282">
        <f ca="1">TblConstr[[#This Row],[Plain]]</f>
        <v>0</v>
      </c>
      <c r="C37" s="236">
        <f ca="1">TblConstr[[#This Row],[Forest]]</f>
        <v>0</v>
      </c>
      <c r="D37" s="478">
        <f ca="1">TblConstr[[#This Row],[Mountain]]</f>
        <v>0</v>
      </c>
      <c r="E37" s="482">
        <f ca="1">TblConstr[[#This Row],[Hill]]</f>
        <v>0</v>
      </c>
      <c r="F37" s="486">
        <f ca="1">TblConstr[[#This Row],[Swamp]]</f>
        <v>0</v>
      </c>
      <c r="G37" s="239">
        <f ca="1">TblConstr[[#This Row],[Cavern]]</f>
        <v>0</v>
      </c>
      <c r="H37" s="240">
        <f ca="1">TblConstr[[#This Row],[Water]]</f>
        <v>0</v>
      </c>
      <c r="I37" s="281"/>
      <c r="J37" s="228">
        <f t="shared" si="1"/>
        <v>34</v>
      </c>
      <c r="K37" s="305">
        <f ca="1">TblImps[[#This Row],[Real time]]</f>
        <v>44406.12499999992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152866</v>
      </c>
      <c r="W37" s="281"/>
      <c r="X37" s="113">
        <f ca="1">ROUNDUP( (1-MIN(ROUND(facs_rezone_factor*TblRezone[[#This Row],[Facs]],4),facs_rezone_max) + tech_6_4*TblTech[[#This Row],[6-4]] + tech_10_2*TblTech[[#This Row],[10-2]] - IF(TblMagic[[#This Row],[Active Mechanical Genius]]&gt;0,mech_genius_bonus,0) + race_rezone_cost) * TblRezone[[#This Row],[Plat/acre*]],0)</f>
        <v>112</v>
      </c>
      <c r="Y37" s="113">
        <f ca="1">TblRezone[[#This Row],[Total acres]]*TblRezone[[#This Row],[Plat/acre]]</f>
        <v>0</v>
      </c>
      <c r="Z37" s="281"/>
      <c r="AA37" s="113">
        <f ca="1">250+0.6*(TblRezone[[#This Row],[Land]]-250)</f>
        <v>279.39999999999998</v>
      </c>
      <c r="AB37" s="281"/>
      <c r="AC37" s="203">
        <f ca="1">TblConstr[[#This Row],[Facs DB]]</f>
        <v>0.15050167224080269</v>
      </c>
    </row>
    <row r="38" spans="1:29" x14ac:dyDescent="0.2">
      <c r="A38" s="280">
        <f ca="1">TblConstr[[#This Row],[Land]]</f>
        <v>299</v>
      </c>
      <c r="B38" s="282">
        <f ca="1">TblConstr[[#This Row],[Plain]]</f>
        <v>0</v>
      </c>
      <c r="C38" s="236">
        <f ca="1">TblConstr[[#This Row],[Forest]]</f>
        <v>0</v>
      </c>
      <c r="D38" s="478">
        <f ca="1">TblConstr[[#This Row],[Mountain]]</f>
        <v>0</v>
      </c>
      <c r="E38" s="482">
        <f ca="1">TblConstr[[#This Row],[Hill]]</f>
        <v>0</v>
      </c>
      <c r="F38" s="486">
        <f ca="1">TblConstr[[#This Row],[Swamp]]</f>
        <v>0</v>
      </c>
      <c r="G38" s="239">
        <f ca="1">TblConstr[[#This Row],[Cavern]]</f>
        <v>0</v>
      </c>
      <c r="H38" s="240">
        <f ca="1">TblConstr[[#This Row],[Water]]</f>
        <v>0</v>
      </c>
      <c r="I38" s="281"/>
      <c r="J38" s="228">
        <f t="shared" si="1"/>
        <v>35</v>
      </c>
      <c r="K38" s="305">
        <f ca="1">TblImps[[#This Row],[Real time]]</f>
        <v>44406.166666666584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73562</v>
      </c>
      <c r="W38" s="281"/>
      <c r="X38" s="113">
        <f ca="1">ROUNDUP( (1-MIN(ROUND(facs_rezone_factor*TblRezone[[#This Row],[Facs]],4),facs_rezone_max) + tech_6_4*TblTech[[#This Row],[6-4]] + tech_10_2*TblTech[[#This Row],[10-2]] - IF(TblMagic[[#This Row],[Active Mechanical Genius]]&gt;0,mech_genius_bonus,0) + race_rezone_cost) * TblRezone[[#This Row],[Plat/acre*]],0)</f>
        <v>112</v>
      </c>
      <c r="Y38" s="113">
        <f ca="1">TblRezone[[#This Row],[Total acres]]*TblRezone[[#This Row],[Plat/acre]]</f>
        <v>0</v>
      </c>
      <c r="Z38" s="281"/>
      <c r="AA38" s="113">
        <f ca="1">250+0.6*(TblRezone[[#This Row],[Land]]-250)</f>
        <v>279.39999999999998</v>
      </c>
      <c r="AB38" s="281"/>
      <c r="AC38" s="203">
        <f ca="1">TblConstr[[#This Row],[Facs DB]]</f>
        <v>0.15050167224080269</v>
      </c>
    </row>
    <row r="39" spans="1:29" x14ac:dyDescent="0.2">
      <c r="A39" s="280">
        <f ca="1">TblConstr[[#This Row],[Land]]</f>
        <v>434</v>
      </c>
      <c r="B39" s="282">
        <f ca="1">TblConstr[[#This Row],[Plain]]</f>
        <v>0</v>
      </c>
      <c r="C39" s="236">
        <f ca="1">TblConstr[[#This Row],[Forest]]</f>
        <v>0</v>
      </c>
      <c r="D39" s="478">
        <f ca="1">TblConstr[[#This Row],[Mountain]]</f>
        <v>0</v>
      </c>
      <c r="E39" s="482">
        <f ca="1">TblConstr[[#This Row],[Hill]]</f>
        <v>0</v>
      </c>
      <c r="F39" s="486">
        <f ca="1">TblConstr[[#This Row],[Swamp]]</f>
        <v>0</v>
      </c>
      <c r="G39" s="239">
        <f ca="1">TblConstr[[#This Row],[Cavern]]</f>
        <v>0</v>
      </c>
      <c r="H39" s="240">
        <f ca="1">TblConstr[[#This Row],[Water]]</f>
        <v>0</v>
      </c>
      <c r="I39" s="281"/>
      <c r="J39" s="228">
        <f t="shared" si="1"/>
        <v>36</v>
      </c>
      <c r="K39" s="305">
        <f ca="1">TblImps[[#This Row],[Real time]]</f>
        <v>44406.208333333248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3179</v>
      </c>
      <c r="W39" s="281"/>
      <c r="X39" s="113">
        <f ca="1">ROUNDUP( (1-MIN(ROUND(facs_rezone_factor*TblRezone[[#This Row],[Facs]],4),facs_rezone_max) + tech_6_4*TblTech[[#This Row],[6-4]] + tech_10_2*TblTech[[#This Row],[10-2]] - IF(TblMagic[[#This Row],[Active Mechanical Genius]]&gt;0,mech_genius_bonus,0) + race_rezone_cost) * TblRezone[[#This Row],[Plat/acre*]],0)</f>
        <v>211</v>
      </c>
      <c r="Y39" s="113">
        <f ca="1">TblRezone[[#This Row],[Total acres]]*TblRezone[[#This Row],[Plat/acre]]</f>
        <v>0</v>
      </c>
      <c r="Z39" s="281"/>
      <c r="AA39" s="113">
        <f ca="1">250+0.6*(TblRezone[[#This Row],[Land]]-250)</f>
        <v>360.4</v>
      </c>
      <c r="AB39" s="281"/>
      <c r="AC39" s="203">
        <f ca="1">TblConstr[[#This Row],[Facs DB]]</f>
        <v>0.10368663594470046</v>
      </c>
    </row>
    <row r="40" spans="1:29" x14ac:dyDescent="0.2">
      <c r="A40" s="280">
        <f ca="1">TblConstr[[#This Row],[Land]]</f>
        <v>434</v>
      </c>
      <c r="B40" s="282">
        <f ca="1">TblConstr[[#This Row],[Plain]]</f>
        <v>0</v>
      </c>
      <c r="C40" s="236">
        <f ca="1">TblConstr[[#This Row],[Forest]]</f>
        <v>0</v>
      </c>
      <c r="D40" s="478">
        <f ca="1">TblConstr[[#This Row],[Mountain]]</f>
        <v>0</v>
      </c>
      <c r="E40" s="482">
        <f ca="1">TblConstr[[#This Row],[Hill]]</f>
        <v>0</v>
      </c>
      <c r="F40" s="486">
        <f ca="1">TblConstr[[#This Row],[Swamp]]</f>
        <v>0</v>
      </c>
      <c r="G40" s="239">
        <f ca="1">TblConstr[[#This Row],[Cavern]]</f>
        <v>0</v>
      </c>
      <c r="H40" s="240">
        <f ca="1">TblConstr[[#This Row],[Water]]</f>
        <v>0</v>
      </c>
      <c r="I40" s="281"/>
      <c r="J40" s="228">
        <f t="shared" si="1"/>
        <v>37</v>
      </c>
      <c r="K40" s="305">
        <f ca="1">TblImps[[#This Row],[Real time]]</f>
        <v>44406.249999999913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9431</v>
      </c>
      <c r="W40" s="281"/>
      <c r="X40" s="113">
        <f ca="1">ROUNDUP( (1-MIN(ROUND(facs_rezone_factor*TblRezone[[#This Row],[Facs]],4),facs_rezone_max) + tech_6_4*TblTech[[#This Row],[6-4]] + tech_10_2*TblTech[[#This Row],[10-2]] - IF(TblMagic[[#This Row],[Active Mechanical Genius]]&gt;0,mech_genius_bonus,0) + race_rezone_cost) * TblRezone[[#This Row],[Plat/acre*]],0)</f>
        <v>211</v>
      </c>
      <c r="Y40" s="113">
        <f ca="1">TblRezone[[#This Row],[Total acres]]*TblRezone[[#This Row],[Plat/acre]]</f>
        <v>0</v>
      </c>
      <c r="Z40" s="281"/>
      <c r="AA40" s="113">
        <f ca="1">250+0.6*(TblRezone[[#This Row],[Land]]-250)</f>
        <v>360.4</v>
      </c>
      <c r="AB40" s="281"/>
      <c r="AC40" s="203">
        <f ca="1">TblConstr[[#This Row],[Facs DB]]</f>
        <v>0.10368663594470046</v>
      </c>
    </row>
    <row r="41" spans="1:29" x14ac:dyDescent="0.2">
      <c r="A41" s="280">
        <f ca="1">TblConstr[[#This Row],[Land]]</f>
        <v>434</v>
      </c>
      <c r="B41" s="282">
        <f ca="1">TblConstr[[#This Row],[Plain]]</f>
        <v>0</v>
      </c>
      <c r="C41" s="236">
        <f ca="1">TblConstr[[#This Row],[Forest]]</f>
        <v>0</v>
      </c>
      <c r="D41" s="478">
        <f ca="1">TblConstr[[#This Row],[Mountain]]</f>
        <v>0</v>
      </c>
      <c r="E41" s="482">
        <f ca="1">TblConstr[[#This Row],[Hill]]</f>
        <v>0</v>
      </c>
      <c r="F41" s="486">
        <f ca="1">TblConstr[[#This Row],[Swamp]]</f>
        <v>0</v>
      </c>
      <c r="G41" s="239">
        <f ca="1">TblConstr[[#This Row],[Cavern]]</f>
        <v>0</v>
      </c>
      <c r="H41" s="240">
        <f ca="1">TblConstr[[#This Row],[Water]]</f>
        <v>0</v>
      </c>
      <c r="I41" s="281"/>
      <c r="J41" s="228">
        <f t="shared" si="1"/>
        <v>38</v>
      </c>
      <c r="K41" s="305">
        <f ca="1">TblImps[[#This Row],[Real time]]</f>
        <v>44406.291666666577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16253</v>
      </c>
      <c r="W41" s="281"/>
      <c r="X41" s="113">
        <f ca="1">ROUNDUP( (1-MIN(ROUND(facs_rezone_factor*TblRezone[[#This Row],[Facs]],4),facs_rezone_max) + tech_6_4*TblTech[[#This Row],[6-4]] + tech_10_2*TblTech[[#This Row],[10-2]] - IF(TblMagic[[#This Row],[Active Mechanical Genius]]&gt;0,mech_genius_bonus,0) + race_rezone_cost) * TblRezone[[#This Row],[Plat/acre*]],0)</f>
        <v>211</v>
      </c>
      <c r="Y41" s="113">
        <f ca="1">TblRezone[[#This Row],[Total acres]]*TblRezone[[#This Row],[Plat/acre]]</f>
        <v>0</v>
      </c>
      <c r="Z41" s="281"/>
      <c r="AA41" s="113">
        <f ca="1">250+0.6*(TblRezone[[#This Row],[Land]]-250)</f>
        <v>360.4</v>
      </c>
      <c r="AB41" s="281"/>
      <c r="AC41" s="203">
        <f ca="1">TblConstr[[#This Row],[Facs DB]]</f>
        <v>0.10368663594470046</v>
      </c>
    </row>
    <row r="42" spans="1:29" x14ac:dyDescent="0.2">
      <c r="A42" s="280">
        <f ca="1">TblConstr[[#This Row],[Land]]</f>
        <v>454</v>
      </c>
      <c r="B42" s="282">
        <f ca="1">TblConstr[[#This Row],[Plain]]</f>
        <v>20</v>
      </c>
      <c r="C42" s="236">
        <f ca="1">TblConstr[[#This Row],[Forest]]</f>
        <v>0</v>
      </c>
      <c r="D42" s="478">
        <f ca="1">TblConstr[[#This Row],[Mountain]]</f>
        <v>0</v>
      </c>
      <c r="E42" s="482">
        <f ca="1">TblConstr[[#This Row],[Hill]]</f>
        <v>0</v>
      </c>
      <c r="F42" s="486">
        <f ca="1">TblConstr[[#This Row],[Swamp]]</f>
        <v>0</v>
      </c>
      <c r="G42" s="239">
        <f ca="1">TblConstr[[#This Row],[Cavern]]</f>
        <v>0</v>
      </c>
      <c r="H42" s="240">
        <f ca="1">TblConstr[[#This Row],[Water]]</f>
        <v>0</v>
      </c>
      <c r="I42" s="281"/>
      <c r="J42" s="228">
        <f t="shared" si="1"/>
        <v>39</v>
      </c>
      <c r="K42" s="305">
        <f ca="1">TblImps[[#This Row],[Real time]]</f>
        <v>44406.333333333241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25297</v>
      </c>
      <c r="W42" s="281"/>
      <c r="X42" s="113">
        <f ca="1">ROUNDUP( (1-MIN(ROUND(facs_rezone_factor*TblRezone[[#This Row],[Facs]],4),facs_rezone_max) + tech_6_4*TblTech[[#This Row],[6-4]] + tech_10_2*TblTech[[#This Row],[10-2]] - IF(TblMagic[[#This Row],[Active Mechanical Genius]]&gt;0,mech_genius_bonus,0) + race_rezone_cost) * TblRezone[[#This Row],[Plat/acre*]],0)</f>
        <v>225</v>
      </c>
      <c r="Y42" s="113">
        <f ca="1">TblRezone[[#This Row],[Total acres]]*TblRezone[[#This Row],[Plat/acre]]</f>
        <v>0</v>
      </c>
      <c r="Z42" s="281"/>
      <c r="AA42" s="113">
        <f ca="1">250+0.6*(TblRezone[[#This Row],[Land]]-250)</f>
        <v>372.4</v>
      </c>
      <c r="AB42" s="281"/>
      <c r="AC42" s="203">
        <f ca="1">TblConstr[[#This Row],[Facs DB]]</f>
        <v>9.9118942731277526E-2</v>
      </c>
    </row>
    <row r="43" spans="1:29" x14ac:dyDescent="0.2">
      <c r="A43" s="280">
        <f ca="1">TblConstr[[#This Row],[Land]]</f>
        <v>454</v>
      </c>
      <c r="B43" s="282">
        <f ca="1">TblConstr[[#This Row],[Plain]]</f>
        <v>0</v>
      </c>
      <c r="C43" s="236">
        <f ca="1">TblConstr[[#This Row],[Forest]]</f>
        <v>0</v>
      </c>
      <c r="D43" s="478">
        <f ca="1">TblConstr[[#This Row],[Mountain]]</f>
        <v>0</v>
      </c>
      <c r="E43" s="482">
        <f ca="1">TblConstr[[#This Row],[Hill]]</f>
        <v>0</v>
      </c>
      <c r="F43" s="486">
        <f ca="1">TblConstr[[#This Row],[Swamp]]</f>
        <v>0</v>
      </c>
      <c r="G43" s="239">
        <f ca="1">TblConstr[[#This Row],[Cavern]]</f>
        <v>0</v>
      </c>
      <c r="H43" s="240">
        <f ca="1">TblConstr[[#This Row],[Water]]</f>
        <v>0</v>
      </c>
      <c r="I43" s="281"/>
      <c r="J43" s="228">
        <f t="shared" si="1"/>
        <v>40</v>
      </c>
      <c r="K43" s="305">
        <f ca="1">TblImps[[#This Row],[Real time]]</f>
        <v>44406.374999999905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34417</v>
      </c>
      <c r="W43" s="281"/>
      <c r="X43" s="113">
        <f ca="1">ROUNDUP( (1-MIN(ROUND(facs_rezone_factor*TblRezone[[#This Row],[Facs]],4),facs_rezone_max) + tech_6_4*TblTech[[#This Row],[6-4]] + tech_10_2*TblTech[[#This Row],[10-2]] - IF(TblMagic[[#This Row],[Active Mechanical Genius]]&gt;0,mech_genius_bonus,0) + race_rezone_cost) * TblRezone[[#This Row],[Plat/acre*]],0)</f>
        <v>225</v>
      </c>
      <c r="Y43" s="113">
        <f ca="1">TblRezone[[#This Row],[Total acres]]*TblRezone[[#This Row],[Plat/acre]]</f>
        <v>0</v>
      </c>
      <c r="Z43" s="281"/>
      <c r="AA43" s="113">
        <f ca="1">250+0.6*(TblRezone[[#This Row],[Land]]-250)</f>
        <v>372.4</v>
      </c>
      <c r="AB43" s="281"/>
      <c r="AC43" s="203">
        <f ca="1">TblConstr[[#This Row],[Facs DB]]</f>
        <v>9.9118942731277526E-2</v>
      </c>
    </row>
    <row r="44" spans="1:29" x14ac:dyDescent="0.2">
      <c r="A44" s="280">
        <f ca="1">TblConstr[[#This Row],[Land]]</f>
        <v>454</v>
      </c>
      <c r="B44" s="282">
        <f ca="1">TblConstr[[#This Row],[Plain]]</f>
        <v>0</v>
      </c>
      <c r="C44" s="236">
        <f ca="1">TblConstr[[#This Row],[Forest]]</f>
        <v>0</v>
      </c>
      <c r="D44" s="478">
        <f ca="1">TblConstr[[#This Row],[Mountain]]</f>
        <v>0</v>
      </c>
      <c r="E44" s="482">
        <f ca="1">TblConstr[[#This Row],[Hill]]</f>
        <v>0</v>
      </c>
      <c r="F44" s="486">
        <f ca="1">TblConstr[[#This Row],[Swamp]]</f>
        <v>0</v>
      </c>
      <c r="G44" s="239">
        <f ca="1">TblConstr[[#This Row],[Cavern]]</f>
        <v>0</v>
      </c>
      <c r="H44" s="240">
        <f ca="1">TblConstr[[#This Row],[Water]]</f>
        <v>0</v>
      </c>
      <c r="I44" s="281"/>
      <c r="J44" s="228">
        <f t="shared" si="1"/>
        <v>41</v>
      </c>
      <c r="K44" s="305">
        <f ca="1">TblImps[[#This Row],[Real time]]</f>
        <v>44406.41666666657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56098</v>
      </c>
      <c r="W44" s="281"/>
      <c r="X44" s="113">
        <f ca="1">ROUNDUP( (1-MIN(ROUND(facs_rezone_factor*TblRezone[[#This Row],[Facs]],4),facs_rezone_max) + tech_6_4*TblTech[[#This Row],[6-4]] + tech_10_2*TblTech[[#This Row],[10-2]] - IF(TblMagic[[#This Row],[Active Mechanical Genius]]&gt;0,mech_genius_bonus,0) + race_rezone_cost) * TblRezone[[#This Row],[Plat/acre*]],0)</f>
        <v>225</v>
      </c>
      <c r="Y44" s="113">
        <f ca="1">TblRezone[[#This Row],[Total acres]]*TblRezone[[#This Row],[Plat/acre]]</f>
        <v>0</v>
      </c>
      <c r="Z44" s="281"/>
      <c r="AA44" s="113">
        <f ca="1">250+0.6*(TblRezone[[#This Row],[Land]]-250)</f>
        <v>372.4</v>
      </c>
      <c r="AB44" s="281"/>
      <c r="AC44" s="203">
        <f ca="1">TblConstr[[#This Row],[Facs DB]]</f>
        <v>9.9118942731277526E-2</v>
      </c>
    </row>
    <row r="45" spans="1:29" x14ac:dyDescent="0.2">
      <c r="A45" s="280">
        <f ca="1">TblConstr[[#This Row],[Land]]</f>
        <v>454</v>
      </c>
      <c r="B45" s="282">
        <f ca="1">TblConstr[[#This Row],[Plain]]</f>
        <v>0</v>
      </c>
      <c r="C45" s="236">
        <f ca="1">TblConstr[[#This Row],[Forest]]</f>
        <v>0</v>
      </c>
      <c r="D45" s="478">
        <f ca="1">TblConstr[[#This Row],[Mountain]]</f>
        <v>0</v>
      </c>
      <c r="E45" s="482">
        <f ca="1">TblConstr[[#This Row],[Hill]]</f>
        <v>0</v>
      </c>
      <c r="F45" s="486">
        <f ca="1">TblConstr[[#This Row],[Swamp]]</f>
        <v>0</v>
      </c>
      <c r="G45" s="239">
        <f ca="1">TblConstr[[#This Row],[Cavern]]</f>
        <v>0</v>
      </c>
      <c r="H45" s="240">
        <f ca="1">TblConstr[[#This Row],[Water]]</f>
        <v>0</v>
      </c>
      <c r="I45" s="281"/>
      <c r="J45" s="228">
        <f t="shared" si="1"/>
        <v>42</v>
      </c>
      <c r="K45" s="305">
        <f ca="1">TblImps[[#This Row],[Real time]]</f>
        <v>44406.458333333234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78451</v>
      </c>
      <c r="W45" s="281"/>
      <c r="X45" s="113">
        <f ca="1">ROUNDUP( (1-MIN(ROUND(facs_rezone_factor*TblRezone[[#This Row],[Facs]],4),facs_rezone_max) + tech_6_4*TblTech[[#This Row],[6-4]] + tech_10_2*TblTech[[#This Row],[10-2]] - IF(TblMagic[[#This Row],[Active Mechanical Genius]]&gt;0,mech_genius_bonus,0) + race_rezone_cost) * TblRezone[[#This Row],[Plat/acre*]],0)</f>
        <v>225</v>
      </c>
      <c r="Y45" s="113">
        <f ca="1">TblRezone[[#This Row],[Total acres]]*TblRezone[[#This Row],[Plat/acre]]</f>
        <v>0</v>
      </c>
      <c r="Z45" s="281"/>
      <c r="AA45" s="113">
        <f ca="1">250+0.6*(TblRezone[[#This Row],[Land]]-250)</f>
        <v>372.4</v>
      </c>
      <c r="AB45" s="281"/>
      <c r="AC45" s="203">
        <f ca="1">TblConstr[[#This Row],[Facs DB]]</f>
        <v>9.9118942731277526E-2</v>
      </c>
    </row>
    <row r="46" spans="1:29" x14ac:dyDescent="0.2">
      <c r="A46" s="280">
        <f ca="1">TblConstr[[#This Row],[Land]]</f>
        <v>454</v>
      </c>
      <c r="B46" s="282">
        <f ca="1">TblConstr[[#This Row],[Plain]]</f>
        <v>0</v>
      </c>
      <c r="C46" s="236">
        <f ca="1">TblConstr[[#This Row],[Forest]]</f>
        <v>0</v>
      </c>
      <c r="D46" s="478">
        <f ca="1">TblConstr[[#This Row],[Mountain]]</f>
        <v>0</v>
      </c>
      <c r="E46" s="482">
        <f ca="1">TblConstr[[#This Row],[Hill]]</f>
        <v>0</v>
      </c>
      <c r="F46" s="486">
        <f ca="1">TblConstr[[#This Row],[Swamp]]</f>
        <v>0</v>
      </c>
      <c r="G46" s="239">
        <f ca="1">TblConstr[[#This Row],[Cavern]]</f>
        <v>0</v>
      </c>
      <c r="H46" s="240">
        <f ca="1">TblConstr[[#This Row],[Water]]</f>
        <v>0</v>
      </c>
      <c r="I46" s="281"/>
      <c r="J46" s="228">
        <f t="shared" si="1"/>
        <v>43</v>
      </c>
      <c r="K46" s="305">
        <f ca="1">TblImps[[#This Row],[Real time]]</f>
        <v>44406.499999999898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101502</v>
      </c>
      <c r="W46" s="281"/>
      <c r="X46" s="113">
        <f ca="1">ROUNDUP( (1-MIN(ROUND(facs_rezone_factor*TblRezone[[#This Row],[Facs]],4),facs_rezone_max) + tech_6_4*TblTech[[#This Row],[6-4]] + tech_10_2*TblTech[[#This Row],[10-2]] - IF(TblMagic[[#This Row],[Active Mechanical Genius]]&gt;0,mech_genius_bonus,0) + race_rezone_cost) * TblRezone[[#This Row],[Plat/acre*]],0)</f>
        <v>225</v>
      </c>
      <c r="Y46" s="113">
        <f ca="1">TblRezone[[#This Row],[Total acres]]*TblRezone[[#This Row],[Plat/acre]]</f>
        <v>0</v>
      </c>
      <c r="Z46" s="281"/>
      <c r="AA46" s="113">
        <f ca="1">250+0.6*(TblRezone[[#This Row],[Land]]-250)</f>
        <v>372.4</v>
      </c>
      <c r="AB46" s="281"/>
      <c r="AC46" s="203">
        <f ca="1">TblConstr[[#This Row],[Facs DB]]</f>
        <v>9.9118942731277526E-2</v>
      </c>
    </row>
    <row r="47" spans="1:29" x14ac:dyDescent="0.2">
      <c r="A47" s="280">
        <f ca="1">TblConstr[[#This Row],[Land]]</f>
        <v>454</v>
      </c>
      <c r="B47" s="282">
        <f ca="1">TblConstr[[#This Row],[Plain]]</f>
        <v>0</v>
      </c>
      <c r="C47" s="236">
        <f ca="1">TblConstr[[#This Row],[Forest]]</f>
        <v>0</v>
      </c>
      <c r="D47" s="478">
        <f ca="1">TblConstr[[#This Row],[Mountain]]</f>
        <v>0</v>
      </c>
      <c r="E47" s="482">
        <f ca="1">TblConstr[[#This Row],[Hill]]</f>
        <v>0</v>
      </c>
      <c r="F47" s="486">
        <f ca="1">TblConstr[[#This Row],[Swamp]]</f>
        <v>0</v>
      </c>
      <c r="G47" s="239">
        <f ca="1">TblConstr[[#This Row],[Cavern]]</f>
        <v>0</v>
      </c>
      <c r="H47" s="240">
        <f ca="1">TblConstr[[#This Row],[Water]]</f>
        <v>0</v>
      </c>
      <c r="I47" s="281"/>
      <c r="J47" s="228">
        <f t="shared" si="1"/>
        <v>44</v>
      </c>
      <c r="K47" s="305">
        <f ca="1">TblImps[[#This Row],[Real time]]</f>
        <v>44406.541666666562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124559</v>
      </c>
      <c r="W47" s="281"/>
      <c r="X47" s="113">
        <f ca="1">ROUNDUP( (1-MIN(ROUND(facs_rezone_factor*TblRezone[[#This Row],[Facs]],4),facs_rezone_max) + tech_6_4*TblTech[[#This Row],[6-4]] + tech_10_2*TblTech[[#This Row],[10-2]] - IF(TblMagic[[#This Row],[Active Mechanical Genius]]&gt;0,mech_genius_bonus,0) + race_rezone_cost) * TblRezone[[#This Row],[Plat/acre*]],0)</f>
        <v>225</v>
      </c>
      <c r="Y47" s="113">
        <f ca="1">TblRezone[[#This Row],[Total acres]]*TblRezone[[#This Row],[Plat/acre]]</f>
        <v>0</v>
      </c>
      <c r="Z47" s="281"/>
      <c r="AA47" s="113">
        <f ca="1">250+0.6*(TblRezone[[#This Row],[Land]]-250)</f>
        <v>372.4</v>
      </c>
      <c r="AB47" s="281"/>
      <c r="AC47" s="203">
        <f ca="1">TblConstr[[#This Row],[Facs DB]]</f>
        <v>9.9118942731277526E-2</v>
      </c>
    </row>
    <row r="48" spans="1:29" x14ac:dyDescent="0.2">
      <c r="A48" s="280">
        <f ca="1">TblConstr[[#This Row],[Land]]</f>
        <v>454</v>
      </c>
      <c r="B48" s="282">
        <f ca="1">TblConstr[[#This Row],[Plain]]</f>
        <v>0</v>
      </c>
      <c r="C48" s="236">
        <f ca="1">TblConstr[[#This Row],[Forest]]</f>
        <v>0</v>
      </c>
      <c r="D48" s="478">
        <f ca="1">TblConstr[[#This Row],[Mountain]]</f>
        <v>0</v>
      </c>
      <c r="E48" s="482">
        <f ca="1">TblConstr[[#This Row],[Hill]]</f>
        <v>0</v>
      </c>
      <c r="F48" s="486">
        <f ca="1">TblConstr[[#This Row],[Swamp]]</f>
        <v>0</v>
      </c>
      <c r="G48" s="239">
        <f ca="1">TblConstr[[#This Row],[Cavern]]</f>
        <v>0</v>
      </c>
      <c r="H48" s="240">
        <f ca="1">TblConstr[[#This Row],[Water]]</f>
        <v>0</v>
      </c>
      <c r="I48" s="281"/>
      <c r="J48" s="228">
        <f t="shared" si="1"/>
        <v>45</v>
      </c>
      <c r="K48" s="305">
        <f ca="1">TblImps[[#This Row],[Real time]]</f>
        <v>44406.583333333227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147616</v>
      </c>
      <c r="W48" s="281"/>
      <c r="X48" s="113">
        <f ca="1">ROUNDUP( (1-MIN(ROUND(facs_rezone_factor*TblRezone[[#This Row],[Facs]],4),facs_rezone_max) + tech_6_4*TblTech[[#This Row],[6-4]] + tech_10_2*TblTech[[#This Row],[10-2]] - IF(TblMagic[[#This Row],[Active Mechanical Genius]]&gt;0,mech_genius_bonus,0) + race_rezone_cost) * TblRezone[[#This Row],[Plat/acre*]],0)</f>
        <v>225</v>
      </c>
      <c r="Y48" s="113">
        <f ca="1">TblRezone[[#This Row],[Total acres]]*TblRezone[[#This Row],[Plat/acre]]</f>
        <v>0</v>
      </c>
      <c r="Z48" s="281"/>
      <c r="AA48" s="113">
        <f ca="1">250+0.6*(TblRezone[[#This Row],[Land]]-250)</f>
        <v>372.4</v>
      </c>
      <c r="AB48" s="281"/>
      <c r="AC48" s="203">
        <f ca="1">TblConstr[[#This Row],[Facs DB]]</f>
        <v>9.9118942731277526E-2</v>
      </c>
    </row>
    <row r="49" spans="1:29" x14ac:dyDescent="0.2">
      <c r="A49" s="280">
        <f ca="1">TblConstr[[#This Row],[Land]]</f>
        <v>454</v>
      </c>
      <c r="B49" s="282">
        <f ca="1">TblConstr[[#This Row],[Plain]]</f>
        <v>0</v>
      </c>
      <c r="C49" s="236">
        <f ca="1">TblConstr[[#This Row],[Forest]]</f>
        <v>0</v>
      </c>
      <c r="D49" s="478">
        <f ca="1">TblConstr[[#This Row],[Mountain]]</f>
        <v>0</v>
      </c>
      <c r="E49" s="482">
        <f ca="1">TblConstr[[#This Row],[Hill]]</f>
        <v>0</v>
      </c>
      <c r="F49" s="486">
        <f ca="1">TblConstr[[#This Row],[Swamp]]</f>
        <v>0</v>
      </c>
      <c r="G49" s="239">
        <f ca="1">TblConstr[[#This Row],[Cavern]]</f>
        <v>0</v>
      </c>
      <c r="H49" s="240">
        <f ca="1">TblConstr[[#This Row],[Water]]</f>
        <v>0</v>
      </c>
      <c r="I49" s="281"/>
      <c r="J49" s="228">
        <f t="shared" si="1"/>
        <v>46</v>
      </c>
      <c r="K49" s="305">
        <f ca="1">TblImps[[#This Row],[Real time]]</f>
        <v>44406.624999999891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170673</v>
      </c>
      <c r="W49" s="281"/>
      <c r="X49" s="113">
        <f ca="1">ROUNDUP( (1-MIN(ROUND(facs_rezone_factor*TblRezone[[#This Row],[Facs]],4),facs_rezone_max) + tech_6_4*TblTech[[#This Row],[6-4]] + tech_10_2*TblTech[[#This Row],[10-2]] - IF(TblMagic[[#This Row],[Active Mechanical Genius]]&gt;0,mech_genius_bonus,0) + race_rezone_cost) * TblRezone[[#This Row],[Plat/acre*]],0)</f>
        <v>225</v>
      </c>
      <c r="Y49" s="113">
        <f ca="1">TblRezone[[#This Row],[Total acres]]*TblRezone[[#This Row],[Plat/acre]]</f>
        <v>0</v>
      </c>
      <c r="Z49" s="281"/>
      <c r="AA49" s="113">
        <f ca="1">250+0.6*(TblRezone[[#This Row],[Land]]-250)</f>
        <v>372.4</v>
      </c>
      <c r="AB49" s="281"/>
      <c r="AC49" s="203">
        <f ca="1">TblConstr[[#This Row],[Facs DB]]</f>
        <v>9.9118942731277526E-2</v>
      </c>
    </row>
    <row r="50" spans="1:29" x14ac:dyDescent="0.2">
      <c r="A50" s="280">
        <f ca="1">TblConstr[[#This Row],[Land]]</f>
        <v>550</v>
      </c>
      <c r="B50" s="282">
        <f ca="1">TblConstr[[#This Row],[Plain]]</f>
        <v>0</v>
      </c>
      <c r="C50" s="236">
        <f ca="1">TblConstr[[#This Row],[Forest]]</f>
        <v>0</v>
      </c>
      <c r="D50" s="478">
        <f ca="1">TblConstr[[#This Row],[Mountain]]</f>
        <v>0</v>
      </c>
      <c r="E50" s="482">
        <f ca="1">TblConstr[[#This Row],[Hill]]</f>
        <v>0</v>
      </c>
      <c r="F50" s="486">
        <f ca="1">TblConstr[[#This Row],[Swamp]]</f>
        <v>0</v>
      </c>
      <c r="G50" s="239">
        <f ca="1">TblConstr[[#This Row],[Cavern]]</f>
        <v>0</v>
      </c>
      <c r="H50" s="240">
        <f ca="1">TblConstr[[#This Row],[Water]]</f>
        <v>0</v>
      </c>
      <c r="I50" s="281"/>
      <c r="J50" s="228">
        <f t="shared" si="1"/>
        <v>47</v>
      </c>
      <c r="K50" s="305">
        <f ca="1">TblImps[[#This Row],[Real time]]</f>
        <v>44406.666666666555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122786</v>
      </c>
      <c r="W50" s="281"/>
      <c r="X50" s="113">
        <f ca="1">ROUNDUP( (1-MIN(ROUND(facs_rezone_factor*TblRezone[[#This Row],[Facs]],4),facs_rezone_max) + tech_6_4*TblTech[[#This Row],[6-4]] + tech_10_2*TblTech[[#This Row],[10-2]] - IF(TblMagic[[#This Row],[Active Mechanical Genius]]&gt;0,mech_genius_bonus,0) + race_rezone_cost) * TblRezone[[#This Row],[Plat/acre*]],0)</f>
        <v>290</v>
      </c>
      <c r="Y50" s="113">
        <f ca="1">TblRezone[[#This Row],[Total acres]]*TblRezone[[#This Row],[Plat/acre]]</f>
        <v>0</v>
      </c>
      <c r="Z50" s="281"/>
      <c r="AA50" s="113">
        <f ca="1">250+0.6*(TblRezone[[#This Row],[Land]]-250)</f>
        <v>430</v>
      </c>
      <c r="AB50" s="281"/>
      <c r="AC50" s="203">
        <f ca="1">TblConstr[[#This Row],[Facs DB]]</f>
        <v>8.1818181818181818E-2</v>
      </c>
    </row>
    <row r="51" spans="1:29" x14ac:dyDescent="0.2">
      <c r="A51" s="280">
        <f ca="1">TblConstr[[#This Row],[Land]]</f>
        <v>557</v>
      </c>
      <c r="B51" s="282">
        <f ca="1">TblConstr[[#This Row],[Plain]]</f>
        <v>0</v>
      </c>
      <c r="C51" s="236">
        <f ca="1">TblConstr[[#This Row],[Forest]]</f>
        <v>0</v>
      </c>
      <c r="D51" s="478">
        <f ca="1">TblConstr[[#This Row],[Mountain]]</f>
        <v>0</v>
      </c>
      <c r="E51" s="482">
        <f ca="1">TblConstr[[#This Row],[Hill]]</f>
        <v>0</v>
      </c>
      <c r="F51" s="486">
        <f ca="1">TblConstr[[#This Row],[Swamp]]</f>
        <v>0</v>
      </c>
      <c r="G51" s="239">
        <f ca="1">TblConstr[[#This Row],[Cavern]]</f>
        <v>0</v>
      </c>
      <c r="H51" s="240">
        <f ca="1">TblConstr[[#This Row],[Water]]</f>
        <v>0</v>
      </c>
      <c r="I51" s="281"/>
      <c r="J51" s="228">
        <f t="shared" si="1"/>
        <v>48</v>
      </c>
      <c r="K51" s="305">
        <f ca="1">TblImps[[#This Row],[Real time]]</f>
        <v>44406.708333333219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179048</v>
      </c>
      <c r="W51" s="281"/>
      <c r="X51" s="113">
        <f ca="1">ROUNDUP( (1-MIN(ROUND(facs_rezone_factor*TblRezone[[#This Row],[Facs]],4),facs_rezone_max) + tech_6_4*TblTech[[#This Row],[6-4]] + tech_10_2*TblTech[[#This Row],[10-2]] - IF(TblMagic[[#This Row],[Active Mechanical Genius]]&gt;0,mech_genius_bonus,0) + race_rezone_cost) * TblRezone[[#This Row],[Plat/acre*]],0)</f>
        <v>294</v>
      </c>
      <c r="Y51" s="113">
        <f ca="1">TblRezone[[#This Row],[Total acres]]*TblRezone[[#This Row],[Plat/acre]]</f>
        <v>0</v>
      </c>
      <c r="Z51" s="281"/>
      <c r="AA51" s="113">
        <f ca="1">250+0.6*(TblRezone[[#This Row],[Land]]-250)</f>
        <v>434.2</v>
      </c>
      <c r="AB51" s="281"/>
      <c r="AC51" s="203">
        <f ca="1">TblConstr[[#This Row],[Facs DB]]</f>
        <v>8.0789946140035901E-2</v>
      </c>
    </row>
    <row r="52" spans="1:29" x14ac:dyDescent="0.2">
      <c r="A52" s="280">
        <f ca="1">TblConstr[[#This Row],[Land]]</f>
        <v>585</v>
      </c>
      <c r="B52" s="282">
        <f ca="1">TblConstr[[#This Row],[Plain]]</f>
        <v>0</v>
      </c>
      <c r="C52" s="236">
        <f ca="1">TblConstr[[#This Row],[Forest]]</f>
        <v>0</v>
      </c>
      <c r="D52" s="478">
        <f ca="1">TblConstr[[#This Row],[Mountain]]</f>
        <v>0</v>
      </c>
      <c r="E52" s="482">
        <f ca="1">TblConstr[[#This Row],[Hill]]</f>
        <v>0</v>
      </c>
      <c r="F52" s="486">
        <f ca="1">TblConstr[[#This Row],[Swamp]]</f>
        <v>0</v>
      </c>
      <c r="G52" s="239">
        <f ca="1">TblConstr[[#This Row],[Cavern]]</f>
        <v>0</v>
      </c>
      <c r="H52" s="240">
        <f ca="1">TblConstr[[#This Row],[Water]]</f>
        <v>0</v>
      </c>
      <c r="I52" s="281"/>
      <c r="J52" s="228">
        <f t="shared" si="1"/>
        <v>49</v>
      </c>
      <c r="K52" s="305">
        <f ca="1">TblImps[[#This Row],[Real time]]</f>
        <v>44406.749999999884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190631</v>
      </c>
      <c r="W52" s="281"/>
      <c r="X52" s="113">
        <f ca="1">ROUNDUP( (1-MIN(ROUND(facs_rezone_factor*TblRezone[[#This Row],[Facs]],4),facs_rezone_max) + tech_6_4*TblTech[[#This Row],[6-4]] + tech_10_2*TblTech[[#This Row],[10-2]] - IF(TblMagic[[#This Row],[Active Mechanical Genius]]&gt;0,mech_genius_bonus,0) + race_rezone_cost) * TblRezone[[#This Row],[Plat/acre*]],0)</f>
        <v>313</v>
      </c>
      <c r="Y52" s="113">
        <f ca="1">TblRezone[[#This Row],[Total acres]]*TblRezone[[#This Row],[Plat/acre]]</f>
        <v>0</v>
      </c>
      <c r="Z52" s="281"/>
      <c r="AA52" s="113">
        <f ca="1">250+0.6*(TblRezone[[#This Row],[Land]]-250)</f>
        <v>451</v>
      </c>
      <c r="AB52" s="281"/>
      <c r="AC52" s="203">
        <f ca="1">TblConstr[[#This Row],[Facs DB]]</f>
        <v>7.6923076923076927E-2</v>
      </c>
    </row>
    <row r="53" spans="1:29" x14ac:dyDescent="0.2">
      <c r="A53" s="280">
        <f ca="1">TblConstr[[#This Row],[Land]]</f>
        <v>593</v>
      </c>
      <c r="B53" s="282">
        <f ca="1">TblConstr[[#This Row],[Plain]]</f>
        <v>0</v>
      </c>
      <c r="C53" s="236">
        <f ca="1">TblConstr[[#This Row],[Forest]]</f>
        <v>0</v>
      </c>
      <c r="D53" s="478">
        <f ca="1">TblConstr[[#This Row],[Mountain]]</f>
        <v>0</v>
      </c>
      <c r="E53" s="482">
        <f ca="1">TblConstr[[#This Row],[Hill]]</f>
        <v>0</v>
      </c>
      <c r="F53" s="486">
        <f ca="1">TblConstr[[#This Row],[Swamp]]</f>
        <v>0</v>
      </c>
      <c r="G53" s="239">
        <f ca="1">TblConstr[[#This Row],[Cavern]]</f>
        <v>0</v>
      </c>
      <c r="H53" s="240">
        <f ca="1">TblConstr[[#This Row],[Water]]</f>
        <v>0</v>
      </c>
      <c r="I53" s="281"/>
      <c r="J53" s="228">
        <f t="shared" si="1"/>
        <v>50</v>
      </c>
      <c r="K53" s="305">
        <f ca="1">TblImps[[#This Row],[Real time]]</f>
        <v>44406.791666666548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218669</v>
      </c>
      <c r="W53" s="281"/>
      <c r="X53" s="113">
        <f ca="1">ROUNDUP( (1-MIN(ROUND(facs_rezone_factor*TblRezone[[#This Row],[Facs]],4),facs_rezone_max) + tech_6_4*TblTech[[#This Row],[6-4]] + tech_10_2*TblTech[[#This Row],[10-2]] - IF(TblMagic[[#This Row],[Active Mechanical Genius]]&gt;0,mech_genius_bonus,0) + race_rezone_cost) * TblRezone[[#This Row],[Plat/acre*]],0)</f>
        <v>318</v>
      </c>
      <c r="Y53" s="113">
        <f ca="1">TblRezone[[#This Row],[Total acres]]*TblRezone[[#This Row],[Plat/acre]]</f>
        <v>0</v>
      </c>
      <c r="Z53" s="281"/>
      <c r="AA53" s="113">
        <f ca="1">250+0.6*(TblRezone[[#This Row],[Land]]-250)</f>
        <v>455.79999999999995</v>
      </c>
      <c r="AB53" s="281"/>
      <c r="AC53" s="203">
        <f ca="1">TblConstr[[#This Row],[Facs DB]]</f>
        <v>7.5885328836424959E-2</v>
      </c>
    </row>
    <row r="54" spans="1:29" x14ac:dyDescent="0.2">
      <c r="A54" s="280">
        <f ca="1">TblConstr[[#This Row],[Land]]</f>
        <v>600</v>
      </c>
      <c r="B54" s="282">
        <f ca="1">TblConstr[[#This Row],[Plain]]</f>
        <v>0</v>
      </c>
      <c r="C54" s="236">
        <f ca="1">TblConstr[[#This Row],[Forest]]</f>
        <v>0</v>
      </c>
      <c r="D54" s="478">
        <f ca="1">TblConstr[[#This Row],[Mountain]]</f>
        <v>0</v>
      </c>
      <c r="E54" s="482">
        <f ca="1">TblConstr[[#This Row],[Hill]]</f>
        <v>0</v>
      </c>
      <c r="F54" s="486">
        <f ca="1">TblConstr[[#This Row],[Swamp]]</f>
        <v>0</v>
      </c>
      <c r="G54" s="239">
        <f ca="1">TblConstr[[#This Row],[Cavern]]</f>
        <v>0</v>
      </c>
      <c r="H54" s="240">
        <f ca="1">TblConstr[[#This Row],[Water]]</f>
        <v>0</v>
      </c>
      <c r="I54" s="281"/>
      <c r="J54" s="228">
        <f t="shared" si="1"/>
        <v>51</v>
      </c>
      <c r="K54" s="305">
        <f ca="1">TblImps[[#This Row],[Real time]]</f>
        <v>44406.833333333212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248345</v>
      </c>
      <c r="W54" s="281"/>
      <c r="X54" s="113">
        <f ca="1">ROUNDUP( (1-MIN(ROUND(facs_rezone_factor*TblRezone[[#This Row],[Facs]],4),facs_rezone_max) + tech_6_4*TblTech[[#This Row],[6-4]] + tech_10_2*TblTech[[#This Row],[10-2]] - IF(TblMagic[[#This Row],[Active Mechanical Genius]]&gt;0,mech_genius_bonus,0) + race_rezone_cost) * TblRezone[[#This Row],[Plat/acre*]],0)</f>
        <v>322</v>
      </c>
      <c r="Y54" s="113">
        <f ca="1">TblRezone[[#This Row],[Total acres]]*TblRezone[[#This Row],[Plat/acre]]</f>
        <v>0</v>
      </c>
      <c r="Z54" s="281"/>
      <c r="AA54" s="113">
        <f ca="1">250+0.6*(TblRezone[[#This Row],[Land]]-250)</f>
        <v>460</v>
      </c>
      <c r="AB54" s="281"/>
      <c r="AC54" s="203">
        <f ca="1">TblConstr[[#This Row],[Facs DB]]</f>
        <v>7.4999999999999997E-2</v>
      </c>
    </row>
    <row r="55" spans="1:29" x14ac:dyDescent="0.2">
      <c r="A55" s="280">
        <f ca="1">TblConstr[[#This Row],[Land]]</f>
        <v>600</v>
      </c>
      <c r="B55" s="282">
        <f ca="1">TblConstr[[#This Row],[Plain]]</f>
        <v>0</v>
      </c>
      <c r="C55" s="236">
        <f ca="1">TblConstr[[#This Row],[Forest]]</f>
        <v>0</v>
      </c>
      <c r="D55" s="478">
        <f ca="1">TblConstr[[#This Row],[Mountain]]</f>
        <v>0</v>
      </c>
      <c r="E55" s="482">
        <f ca="1">TblConstr[[#This Row],[Hill]]</f>
        <v>0</v>
      </c>
      <c r="F55" s="486">
        <f ca="1">TblConstr[[#This Row],[Swamp]]</f>
        <v>0</v>
      </c>
      <c r="G55" s="239">
        <f ca="1">TblConstr[[#This Row],[Cavern]]</f>
        <v>0</v>
      </c>
      <c r="H55" s="240">
        <f ca="1">TblConstr[[#This Row],[Water]]</f>
        <v>0</v>
      </c>
      <c r="I55" s="281"/>
      <c r="J55" s="228">
        <f t="shared" si="1"/>
        <v>52</v>
      </c>
      <c r="K55" s="305">
        <f ca="1">TblImps[[#This Row],[Real time]]</f>
        <v>44406.874999999876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285615</v>
      </c>
      <c r="W55" s="281"/>
      <c r="X55" s="113">
        <f ca="1">ROUNDUP( (1-MIN(ROUND(facs_rezone_factor*TblRezone[[#This Row],[Facs]],4),facs_rezone_max) + tech_6_4*TblTech[[#This Row],[6-4]] + tech_10_2*TblTech[[#This Row],[10-2]] - IF(TblMagic[[#This Row],[Active Mechanical Genius]]&gt;0,mech_genius_bonus,0) + race_rezone_cost) * TblRezone[[#This Row],[Plat/acre*]],0)</f>
        <v>322</v>
      </c>
      <c r="Y55" s="113">
        <f ca="1">TblRezone[[#This Row],[Total acres]]*TblRezone[[#This Row],[Plat/acre]]</f>
        <v>0</v>
      </c>
      <c r="Z55" s="281"/>
      <c r="AA55" s="113">
        <f ca="1">250+0.6*(TblRezone[[#This Row],[Land]]-250)</f>
        <v>460</v>
      </c>
      <c r="AB55" s="281"/>
      <c r="AC55" s="203">
        <f ca="1">TblConstr[[#This Row],[Facs DB]]</f>
        <v>7.4999999999999997E-2</v>
      </c>
    </row>
    <row r="56" spans="1:29" x14ac:dyDescent="0.2">
      <c r="A56" s="280">
        <f ca="1">TblConstr[[#This Row],[Land]]</f>
        <v>600</v>
      </c>
      <c r="B56" s="282">
        <f ca="1">TblConstr[[#This Row],[Plain]]</f>
        <v>0</v>
      </c>
      <c r="C56" s="236">
        <f ca="1">TblConstr[[#This Row],[Forest]]</f>
        <v>0</v>
      </c>
      <c r="D56" s="478">
        <f ca="1">TblConstr[[#This Row],[Mountain]]</f>
        <v>0</v>
      </c>
      <c r="E56" s="482">
        <f ca="1">TblConstr[[#This Row],[Hill]]</f>
        <v>0</v>
      </c>
      <c r="F56" s="486">
        <f ca="1">TblConstr[[#This Row],[Swamp]]</f>
        <v>0</v>
      </c>
      <c r="G56" s="239">
        <f ca="1">TblConstr[[#This Row],[Cavern]]</f>
        <v>0</v>
      </c>
      <c r="H56" s="240">
        <f ca="1">TblConstr[[#This Row],[Water]]</f>
        <v>0</v>
      </c>
      <c r="I56" s="281"/>
      <c r="J56" s="228">
        <f t="shared" si="1"/>
        <v>53</v>
      </c>
      <c r="K56" s="305">
        <f ca="1">TblImps[[#This Row],[Real time]]</f>
        <v>44406.916666666541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323853</v>
      </c>
      <c r="W56" s="281"/>
      <c r="X56" s="113">
        <f ca="1">ROUNDUP( (1-MIN(ROUND(facs_rezone_factor*TblRezone[[#This Row],[Facs]],4),facs_rezone_max) + tech_6_4*TblTech[[#This Row],[6-4]] + tech_10_2*TblTech[[#This Row],[10-2]] - IF(TblMagic[[#This Row],[Active Mechanical Genius]]&gt;0,mech_genius_bonus,0) + race_rezone_cost) * TblRezone[[#This Row],[Plat/acre*]],0)</f>
        <v>322</v>
      </c>
      <c r="Y56" s="113">
        <f ca="1">TblRezone[[#This Row],[Total acres]]*TblRezone[[#This Row],[Plat/acre]]</f>
        <v>0</v>
      </c>
      <c r="Z56" s="281"/>
      <c r="AA56" s="113">
        <f ca="1">250+0.6*(TblRezone[[#This Row],[Land]]-250)</f>
        <v>460</v>
      </c>
      <c r="AB56" s="281"/>
      <c r="AC56" s="203">
        <f ca="1">TblConstr[[#This Row],[Facs DB]]</f>
        <v>7.4999999999999997E-2</v>
      </c>
    </row>
    <row r="57" spans="1:29" x14ac:dyDescent="0.2">
      <c r="A57" s="280">
        <f ca="1">TblConstr[[#This Row],[Land]]</f>
        <v>600</v>
      </c>
      <c r="B57" s="282">
        <f ca="1">TblConstr[[#This Row],[Plain]]</f>
        <v>0</v>
      </c>
      <c r="C57" s="236">
        <f ca="1">TblConstr[[#This Row],[Forest]]</f>
        <v>0</v>
      </c>
      <c r="D57" s="478">
        <f ca="1">TblConstr[[#This Row],[Mountain]]</f>
        <v>0</v>
      </c>
      <c r="E57" s="482">
        <f ca="1">TblConstr[[#This Row],[Hill]]</f>
        <v>0</v>
      </c>
      <c r="F57" s="486">
        <f ca="1">TblConstr[[#This Row],[Swamp]]</f>
        <v>0</v>
      </c>
      <c r="G57" s="239">
        <f ca="1">TblConstr[[#This Row],[Cavern]]</f>
        <v>0</v>
      </c>
      <c r="H57" s="240">
        <f ca="1">TblConstr[[#This Row],[Water]]</f>
        <v>0</v>
      </c>
      <c r="I57" s="281"/>
      <c r="J57" s="228">
        <f t="shared" si="1"/>
        <v>54</v>
      </c>
      <c r="K57" s="305">
        <f ca="1">TblImps[[#This Row],[Real time]]</f>
        <v>44406.958333333205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361839</v>
      </c>
      <c r="W57" s="281"/>
      <c r="X57" s="113">
        <f ca="1">ROUNDUP( (1-MIN(ROUND(facs_rezone_factor*TblRezone[[#This Row],[Facs]],4),facs_rezone_max) + tech_6_4*TblTech[[#This Row],[6-4]] + tech_10_2*TblTech[[#This Row],[10-2]] - IF(TblMagic[[#This Row],[Active Mechanical Genius]]&gt;0,mech_genius_bonus,0) + race_rezone_cost) * TblRezone[[#This Row],[Plat/acre*]],0)</f>
        <v>322</v>
      </c>
      <c r="Y57" s="113">
        <f ca="1">TblRezone[[#This Row],[Total acres]]*TblRezone[[#This Row],[Plat/acre]]</f>
        <v>0</v>
      </c>
      <c r="Z57" s="281"/>
      <c r="AA57" s="113">
        <f ca="1">250+0.6*(TblRezone[[#This Row],[Land]]-250)</f>
        <v>460</v>
      </c>
      <c r="AB57" s="281"/>
      <c r="AC57" s="203">
        <f ca="1">TblConstr[[#This Row],[Facs DB]]</f>
        <v>7.4999999999999997E-2</v>
      </c>
    </row>
    <row r="58" spans="1:29" x14ac:dyDescent="0.2">
      <c r="A58" s="280">
        <f ca="1">TblConstr[[#This Row],[Land]]</f>
        <v>600</v>
      </c>
      <c r="B58" s="282">
        <f ca="1">TblConstr[[#This Row],[Plain]]</f>
        <v>0</v>
      </c>
      <c r="C58" s="236">
        <f ca="1">TblConstr[[#This Row],[Forest]]</f>
        <v>0</v>
      </c>
      <c r="D58" s="478">
        <f ca="1">TblConstr[[#This Row],[Mountain]]</f>
        <v>0</v>
      </c>
      <c r="E58" s="482">
        <f ca="1">TblConstr[[#This Row],[Hill]]</f>
        <v>0</v>
      </c>
      <c r="F58" s="486">
        <f ca="1">TblConstr[[#This Row],[Swamp]]</f>
        <v>0</v>
      </c>
      <c r="G58" s="239">
        <f ca="1">TblConstr[[#This Row],[Cavern]]</f>
        <v>0</v>
      </c>
      <c r="H58" s="240">
        <f ca="1">TblConstr[[#This Row],[Water]]</f>
        <v>0</v>
      </c>
      <c r="I58" s="281"/>
      <c r="J58" s="228">
        <f t="shared" si="1"/>
        <v>55</v>
      </c>
      <c r="K58" s="305">
        <f ca="1">TblImps[[#This Row],[Real time]]</f>
        <v>44406.999999999869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399575</v>
      </c>
      <c r="W58" s="281"/>
      <c r="X58" s="113">
        <f ca="1">ROUNDUP( (1-MIN(ROUND(facs_rezone_factor*TblRezone[[#This Row],[Facs]],4),facs_rezone_max) + tech_6_4*TblTech[[#This Row],[6-4]] + tech_10_2*TblTech[[#This Row],[10-2]] - IF(TblMagic[[#This Row],[Active Mechanical Genius]]&gt;0,mech_genius_bonus,0) + race_rezone_cost) * TblRezone[[#This Row],[Plat/acre*]],0)</f>
        <v>322</v>
      </c>
      <c r="Y58" s="113">
        <f ca="1">TblRezone[[#This Row],[Total acres]]*TblRezone[[#This Row],[Plat/acre]]</f>
        <v>0</v>
      </c>
      <c r="Z58" s="281"/>
      <c r="AA58" s="113">
        <f ca="1">250+0.6*(TblRezone[[#This Row],[Land]]-250)</f>
        <v>460</v>
      </c>
      <c r="AB58" s="281"/>
      <c r="AC58" s="203">
        <f ca="1">TblConstr[[#This Row],[Facs DB]]</f>
        <v>7.4999999999999997E-2</v>
      </c>
    </row>
    <row r="59" spans="1:29" x14ac:dyDescent="0.2">
      <c r="A59" s="280">
        <f ca="1">TblConstr[[#This Row],[Land]]</f>
        <v>600</v>
      </c>
      <c r="B59" s="282">
        <f ca="1">TblConstr[[#This Row],[Plain]]</f>
        <v>0</v>
      </c>
      <c r="C59" s="236">
        <f ca="1">TblConstr[[#This Row],[Forest]]</f>
        <v>0</v>
      </c>
      <c r="D59" s="478">
        <f ca="1">TblConstr[[#This Row],[Mountain]]</f>
        <v>0</v>
      </c>
      <c r="E59" s="482">
        <f ca="1">TblConstr[[#This Row],[Hill]]</f>
        <v>0</v>
      </c>
      <c r="F59" s="486">
        <f ca="1">TblConstr[[#This Row],[Swamp]]</f>
        <v>0</v>
      </c>
      <c r="G59" s="239">
        <f ca="1">TblConstr[[#This Row],[Cavern]]</f>
        <v>0</v>
      </c>
      <c r="H59" s="240">
        <f ca="1">TblConstr[[#This Row],[Water]]</f>
        <v>0</v>
      </c>
      <c r="I59" s="281"/>
      <c r="J59" s="228">
        <f t="shared" si="1"/>
        <v>56</v>
      </c>
      <c r="K59" s="305">
        <f ca="1">TblImps[[#This Row],[Real time]]</f>
        <v>44407.041666666533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437065</v>
      </c>
      <c r="W59" s="281"/>
      <c r="X59" s="113">
        <f ca="1">ROUNDUP( (1-MIN(ROUND(facs_rezone_factor*TblRezone[[#This Row],[Facs]],4),facs_rezone_max) + tech_6_4*TblTech[[#This Row],[6-4]] + tech_10_2*TblTech[[#This Row],[10-2]] - IF(TblMagic[[#This Row],[Active Mechanical Genius]]&gt;0,mech_genius_bonus,0) + race_rezone_cost) * TblRezone[[#This Row],[Plat/acre*]],0)</f>
        <v>322</v>
      </c>
      <c r="Y59" s="113">
        <f ca="1">TblRezone[[#This Row],[Total acres]]*TblRezone[[#This Row],[Plat/acre]]</f>
        <v>0</v>
      </c>
      <c r="Z59" s="281"/>
      <c r="AA59" s="113">
        <f ca="1">250+0.6*(TblRezone[[#This Row],[Land]]-250)</f>
        <v>460</v>
      </c>
      <c r="AB59" s="281"/>
      <c r="AC59" s="203">
        <f ca="1">TblConstr[[#This Row],[Facs DB]]</f>
        <v>7.4999999999999997E-2</v>
      </c>
    </row>
    <row r="60" spans="1:29" x14ac:dyDescent="0.2">
      <c r="A60" s="280">
        <f ca="1">TblConstr[[#This Row],[Land]]</f>
        <v>600</v>
      </c>
      <c r="B60" s="282">
        <f ca="1">TblConstr[[#This Row],[Plain]]</f>
        <v>0</v>
      </c>
      <c r="C60" s="236">
        <f ca="1">TblConstr[[#This Row],[Forest]]</f>
        <v>0</v>
      </c>
      <c r="D60" s="478">
        <f ca="1">TblConstr[[#This Row],[Mountain]]</f>
        <v>0</v>
      </c>
      <c r="E60" s="482">
        <f ca="1">TblConstr[[#This Row],[Hill]]</f>
        <v>0</v>
      </c>
      <c r="F60" s="486">
        <f ca="1">TblConstr[[#This Row],[Swamp]]</f>
        <v>0</v>
      </c>
      <c r="G60" s="239">
        <f ca="1">TblConstr[[#This Row],[Cavern]]</f>
        <v>0</v>
      </c>
      <c r="H60" s="240">
        <f ca="1">TblConstr[[#This Row],[Water]]</f>
        <v>0</v>
      </c>
      <c r="I60" s="281"/>
      <c r="J60" s="228">
        <f t="shared" si="1"/>
        <v>57</v>
      </c>
      <c r="K60" s="305">
        <f ca="1">TblImps[[#This Row],[Real time]]</f>
        <v>44407.083333333198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474311</v>
      </c>
      <c r="W60" s="281"/>
      <c r="X60" s="113">
        <f ca="1">ROUNDUP( (1-MIN(ROUND(facs_rezone_factor*TblRezone[[#This Row],[Facs]],4),facs_rezone_max) + tech_6_4*TblTech[[#This Row],[6-4]] + tech_10_2*TblTech[[#This Row],[10-2]] - IF(TblMagic[[#This Row],[Active Mechanical Genius]]&gt;0,mech_genius_bonus,0) + race_rezone_cost) * TblRezone[[#This Row],[Plat/acre*]],0)</f>
        <v>322</v>
      </c>
      <c r="Y60" s="113">
        <f ca="1">TblRezone[[#This Row],[Total acres]]*TblRezone[[#This Row],[Plat/acre]]</f>
        <v>0</v>
      </c>
      <c r="Z60" s="281"/>
      <c r="AA60" s="113">
        <f ca="1">250+0.6*(TblRezone[[#This Row],[Land]]-250)</f>
        <v>460</v>
      </c>
      <c r="AB60" s="281"/>
      <c r="AC60" s="203">
        <f ca="1">TblConstr[[#This Row],[Facs DB]]</f>
        <v>7.4999999999999997E-2</v>
      </c>
    </row>
    <row r="61" spans="1:29" x14ac:dyDescent="0.2">
      <c r="A61" s="280">
        <f ca="1">TblConstr[[#This Row],[Land]]</f>
        <v>600</v>
      </c>
      <c r="B61" s="282">
        <f ca="1">TblConstr[[#This Row],[Plain]]</f>
        <v>0</v>
      </c>
      <c r="C61" s="236">
        <f ca="1">TblConstr[[#This Row],[Forest]]</f>
        <v>0</v>
      </c>
      <c r="D61" s="478">
        <f ca="1">TblConstr[[#This Row],[Mountain]]</f>
        <v>0</v>
      </c>
      <c r="E61" s="482">
        <f ca="1">TblConstr[[#This Row],[Hill]]</f>
        <v>0</v>
      </c>
      <c r="F61" s="486">
        <f ca="1">TblConstr[[#This Row],[Swamp]]</f>
        <v>0</v>
      </c>
      <c r="G61" s="239">
        <f ca="1">TblConstr[[#This Row],[Cavern]]</f>
        <v>0</v>
      </c>
      <c r="H61" s="240">
        <f ca="1">TblConstr[[#This Row],[Water]]</f>
        <v>0</v>
      </c>
      <c r="I61" s="281"/>
      <c r="J61" s="228">
        <f t="shared" si="1"/>
        <v>58</v>
      </c>
      <c r="K61" s="305">
        <f ca="1">TblImps[[#This Row],[Real time]]</f>
        <v>44407.124999999862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511317</v>
      </c>
      <c r="W61" s="281"/>
      <c r="X61" s="113">
        <f ca="1">ROUNDUP( (1-MIN(ROUND(facs_rezone_factor*TblRezone[[#This Row],[Facs]],4),facs_rezone_max) + tech_6_4*TblTech[[#This Row],[6-4]] + tech_10_2*TblTech[[#This Row],[10-2]] - IF(TblMagic[[#This Row],[Active Mechanical Genius]]&gt;0,mech_genius_bonus,0) + race_rezone_cost) * TblRezone[[#This Row],[Plat/acre*]],0)</f>
        <v>322</v>
      </c>
      <c r="Y61" s="113">
        <f ca="1">TblRezone[[#This Row],[Total acres]]*TblRezone[[#This Row],[Plat/acre]]</f>
        <v>0</v>
      </c>
      <c r="Z61" s="281"/>
      <c r="AA61" s="113">
        <f ca="1">250+0.6*(TblRezone[[#This Row],[Land]]-250)</f>
        <v>460</v>
      </c>
      <c r="AB61" s="281"/>
      <c r="AC61" s="203">
        <f ca="1">TblConstr[[#This Row],[Facs DB]]</f>
        <v>7.4999999999999997E-2</v>
      </c>
    </row>
    <row r="62" spans="1:29" x14ac:dyDescent="0.2">
      <c r="A62" s="280">
        <f ca="1">TblConstr[[#This Row],[Land]]</f>
        <v>600</v>
      </c>
      <c r="B62" s="282">
        <f ca="1">TblConstr[[#This Row],[Plain]]</f>
        <v>0</v>
      </c>
      <c r="C62" s="236">
        <f ca="1">TblConstr[[#This Row],[Forest]]</f>
        <v>0</v>
      </c>
      <c r="D62" s="478">
        <f ca="1">TblConstr[[#This Row],[Mountain]]</f>
        <v>0</v>
      </c>
      <c r="E62" s="482">
        <f ca="1">TblConstr[[#This Row],[Hill]]</f>
        <v>0</v>
      </c>
      <c r="F62" s="486">
        <f ca="1">TblConstr[[#This Row],[Swamp]]</f>
        <v>0</v>
      </c>
      <c r="G62" s="239">
        <f ca="1">TblConstr[[#This Row],[Cavern]]</f>
        <v>0</v>
      </c>
      <c r="H62" s="240">
        <f ca="1">TblConstr[[#This Row],[Water]]</f>
        <v>0</v>
      </c>
      <c r="I62" s="281"/>
      <c r="J62" s="228">
        <f t="shared" si="1"/>
        <v>59</v>
      </c>
      <c r="K62" s="305">
        <f ca="1">TblImps[[#This Row],[Real time]]</f>
        <v>44407.166666666526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548082</v>
      </c>
      <c r="W62" s="281"/>
      <c r="X62" s="113">
        <f ca="1">ROUNDUP( (1-MIN(ROUND(facs_rezone_factor*TblRezone[[#This Row],[Facs]],4),facs_rezone_max) + tech_6_4*TblTech[[#This Row],[6-4]] + tech_10_2*TblTech[[#This Row],[10-2]] - IF(TblMagic[[#This Row],[Active Mechanical Genius]]&gt;0,mech_genius_bonus,0) + race_rezone_cost) * TblRezone[[#This Row],[Plat/acre*]],0)</f>
        <v>322</v>
      </c>
      <c r="Y62" s="113">
        <f ca="1">TblRezone[[#This Row],[Total acres]]*TblRezone[[#This Row],[Plat/acre]]</f>
        <v>0</v>
      </c>
      <c r="Z62" s="281"/>
      <c r="AA62" s="113">
        <f ca="1">250+0.6*(TblRezone[[#This Row],[Land]]-250)</f>
        <v>460</v>
      </c>
      <c r="AB62" s="281"/>
      <c r="AC62" s="203">
        <f ca="1">TblConstr[[#This Row],[Facs DB]]</f>
        <v>7.4999999999999997E-2</v>
      </c>
    </row>
    <row r="63" spans="1:29" x14ac:dyDescent="0.2">
      <c r="A63" s="280">
        <f ca="1">TblConstr[[#This Row],[Land]]</f>
        <v>600</v>
      </c>
      <c r="B63" s="282">
        <f ca="1">TblConstr[[#This Row],[Plain]]</f>
        <v>0</v>
      </c>
      <c r="C63" s="236">
        <f ca="1">TblConstr[[#This Row],[Forest]]</f>
        <v>0</v>
      </c>
      <c r="D63" s="478">
        <f ca="1">TblConstr[[#This Row],[Mountain]]</f>
        <v>0</v>
      </c>
      <c r="E63" s="482">
        <f ca="1">TblConstr[[#This Row],[Hill]]</f>
        <v>0</v>
      </c>
      <c r="F63" s="486">
        <f ca="1">TblConstr[[#This Row],[Swamp]]</f>
        <v>0</v>
      </c>
      <c r="G63" s="239">
        <f ca="1">TblConstr[[#This Row],[Cavern]]</f>
        <v>0</v>
      </c>
      <c r="H63" s="240">
        <f ca="1">TblConstr[[#This Row],[Water]]</f>
        <v>0</v>
      </c>
      <c r="I63" s="281"/>
      <c r="J63" s="228">
        <f t="shared" si="1"/>
        <v>60</v>
      </c>
      <c r="K63" s="305">
        <f ca="1">TblImps[[#This Row],[Real time]]</f>
        <v>44407.20833333319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584610</v>
      </c>
      <c r="W63" s="281"/>
      <c r="X63" s="113">
        <f ca="1">ROUNDUP( (1-MIN(ROUND(facs_rezone_factor*TblRezone[[#This Row],[Facs]],4),facs_rezone_max) + tech_6_4*TblTech[[#This Row],[6-4]] + tech_10_2*TblTech[[#This Row],[10-2]] - IF(TblMagic[[#This Row],[Active Mechanical Genius]]&gt;0,mech_genius_bonus,0) + race_rezone_cost) * TblRezone[[#This Row],[Plat/acre*]],0)</f>
        <v>322</v>
      </c>
      <c r="Y63" s="113">
        <f ca="1">TblRezone[[#This Row],[Total acres]]*TblRezone[[#This Row],[Plat/acre]]</f>
        <v>0</v>
      </c>
      <c r="Z63" s="281"/>
      <c r="AA63" s="113">
        <f ca="1">250+0.6*(TblRezone[[#This Row],[Land]]-250)</f>
        <v>460</v>
      </c>
      <c r="AB63" s="281"/>
      <c r="AC63" s="203">
        <f ca="1">TblConstr[[#This Row],[Facs DB]]</f>
        <v>7.4999999999999997E-2</v>
      </c>
    </row>
    <row r="64" spans="1:29" x14ac:dyDescent="0.2">
      <c r="A64" s="280">
        <f ca="1">TblConstr[[#This Row],[Land]]</f>
        <v>600</v>
      </c>
      <c r="B64" s="282">
        <f ca="1">TblConstr[[#This Row],[Plain]]</f>
        <v>0</v>
      </c>
      <c r="C64" s="236">
        <f ca="1">TblConstr[[#This Row],[Forest]]</f>
        <v>0</v>
      </c>
      <c r="D64" s="478">
        <f ca="1">TblConstr[[#This Row],[Mountain]]</f>
        <v>0</v>
      </c>
      <c r="E64" s="482">
        <f ca="1">TblConstr[[#This Row],[Hill]]</f>
        <v>0</v>
      </c>
      <c r="F64" s="486">
        <f ca="1">TblConstr[[#This Row],[Swamp]]</f>
        <v>0</v>
      </c>
      <c r="G64" s="239">
        <f ca="1">TblConstr[[#This Row],[Cavern]]</f>
        <v>0</v>
      </c>
      <c r="H64" s="240">
        <f ca="1">TblConstr[[#This Row],[Water]]</f>
        <v>0</v>
      </c>
      <c r="I64" s="281"/>
      <c r="J64" s="228">
        <f t="shared" si="1"/>
        <v>61</v>
      </c>
      <c r="K64" s="305">
        <f ca="1">TblImps[[#This Row],[Real time]]</f>
        <v>44407.249999999854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81283</v>
      </c>
      <c r="W64" s="281"/>
      <c r="X64" s="113">
        <f ca="1">ROUNDUP( (1-MIN(ROUND(facs_rezone_factor*TblRezone[[#This Row],[Facs]],4),facs_rezone_max) + tech_6_4*TblTech[[#This Row],[6-4]] + tech_10_2*TblTech[[#This Row],[10-2]] - IF(TblMagic[[#This Row],[Active Mechanical Genius]]&gt;0,mech_genius_bonus,0) + race_rezone_cost) * TblRezone[[#This Row],[Plat/acre*]],0)</f>
        <v>322</v>
      </c>
      <c r="Y64" s="113">
        <f ca="1">TblRezone[[#This Row],[Total acres]]*TblRezone[[#This Row],[Plat/acre]]</f>
        <v>0</v>
      </c>
      <c r="Z64" s="281"/>
      <c r="AA64" s="113">
        <f ca="1">250+0.6*(TblRezone[[#This Row],[Land]]-250)</f>
        <v>460</v>
      </c>
      <c r="AB64" s="281"/>
      <c r="AC64" s="203">
        <f ca="1">TblConstr[[#This Row],[Facs DB]]</f>
        <v>7.4999999999999997E-2</v>
      </c>
    </row>
    <row r="65" spans="1:29" x14ac:dyDescent="0.2">
      <c r="A65" s="280">
        <f ca="1">TblConstr[[#This Row],[Land]]</f>
        <v>600</v>
      </c>
      <c r="B65" s="282">
        <f ca="1">TblConstr[[#This Row],[Plain]]</f>
        <v>0</v>
      </c>
      <c r="C65" s="236">
        <f ca="1">TblConstr[[#This Row],[Forest]]</f>
        <v>0</v>
      </c>
      <c r="D65" s="478">
        <f ca="1">TblConstr[[#This Row],[Mountain]]</f>
        <v>0</v>
      </c>
      <c r="E65" s="482">
        <f ca="1">TblConstr[[#This Row],[Hill]]</f>
        <v>0</v>
      </c>
      <c r="F65" s="486">
        <f ca="1">TblConstr[[#This Row],[Swamp]]</f>
        <v>0</v>
      </c>
      <c r="G65" s="239">
        <f ca="1">TblConstr[[#This Row],[Cavern]]</f>
        <v>0</v>
      </c>
      <c r="H65" s="240">
        <f ca="1">TblConstr[[#This Row],[Water]]</f>
        <v>0</v>
      </c>
      <c r="I65" s="281"/>
      <c r="J65" s="228">
        <f t="shared" si="1"/>
        <v>62</v>
      </c>
      <c r="K65" s="305">
        <f ca="1">TblImps[[#This Row],[Real time]]</f>
        <v>44407.291666666519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118393</v>
      </c>
      <c r="W65" s="281"/>
      <c r="X65" s="113">
        <f ca="1">ROUNDUP( (1-MIN(ROUND(facs_rezone_factor*TblRezone[[#This Row],[Facs]],4),facs_rezone_max) + tech_6_4*TblTech[[#This Row],[6-4]] + tech_10_2*TblTech[[#This Row],[10-2]] - IF(TblMagic[[#This Row],[Active Mechanical Genius]]&gt;0,mech_genius_bonus,0) + race_rezone_cost) * TblRezone[[#This Row],[Plat/acre*]],0)</f>
        <v>322</v>
      </c>
      <c r="Y65" s="113">
        <f ca="1">TblRezone[[#This Row],[Total acres]]*TblRezone[[#This Row],[Plat/acre]]</f>
        <v>0</v>
      </c>
      <c r="Z65" s="281"/>
      <c r="AA65" s="113">
        <f ca="1">250+0.6*(TblRezone[[#This Row],[Land]]-250)</f>
        <v>460</v>
      </c>
      <c r="AB65" s="281"/>
      <c r="AC65" s="203">
        <f ca="1">TblConstr[[#This Row],[Facs DB]]</f>
        <v>7.4999999999999997E-2</v>
      </c>
    </row>
    <row r="66" spans="1:29" x14ac:dyDescent="0.2">
      <c r="A66" s="280">
        <f ca="1">TblConstr[[#This Row],[Land]]</f>
        <v>600</v>
      </c>
      <c r="B66" s="282">
        <f ca="1">TblConstr[[#This Row],[Plain]]</f>
        <v>0</v>
      </c>
      <c r="C66" s="236">
        <f ca="1">TblConstr[[#This Row],[Forest]]</f>
        <v>0</v>
      </c>
      <c r="D66" s="478">
        <f ca="1">TblConstr[[#This Row],[Mountain]]</f>
        <v>0</v>
      </c>
      <c r="E66" s="482">
        <f ca="1">TblConstr[[#This Row],[Hill]]</f>
        <v>0</v>
      </c>
      <c r="F66" s="486">
        <f ca="1">TblConstr[[#This Row],[Swamp]]</f>
        <v>0</v>
      </c>
      <c r="G66" s="239">
        <f ca="1">TblConstr[[#This Row],[Cavern]]</f>
        <v>0</v>
      </c>
      <c r="H66" s="240">
        <f ca="1">TblConstr[[#This Row],[Water]]</f>
        <v>0</v>
      </c>
      <c r="I66" s="281"/>
      <c r="J66" s="228">
        <f t="shared" si="1"/>
        <v>63</v>
      </c>
      <c r="K66" s="305">
        <f ca="1">TblImps[[#This Row],[Real time]]</f>
        <v>44407.333333333183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155627</v>
      </c>
      <c r="W66" s="281"/>
      <c r="X66" s="113">
        <f ca="1">ROUNDUP( (1-MIN(ROUND(facs_rezone_factor*TblRezone[[#This Row],[Facs]],4),facs_rezone_max) + tech_6_4*TblTech[[#This Row],[6-4]] + tech_10_2*TblTech[[#This Row],[10-2]] - IF(TblMagic[[#This Row],[Active Mechanical Genius]]&gt;0,mech_genius_bonus,0) + race_rezone_cost) * TblRezone[[#This Row],[Plat/acre*]],0)</f>
        <v>322</v>
      </c>
      <c r="Y66" s="113">
        <f ca="1">TblRezone[[#This Row],[Total acres]]*TblRezone[[#This Row],[Plat/acre]]</f>
        <v>0</v>
      </c>
      <c r="Z66" s="281"/>
      <c r="AA66" s="113">
        <f ca="1">250+0.6*(TblRezone[[#This Row],[Land]]-250)</f>
        <v>460</v>
      </c>
      <c r="AB66" s="281"/>
      <c r="AC66" s="203">
        <f ca="1">TblConstr[[#This Row],[Facs DB]]</f>
        <v>7.4999999999999997E-2</v>
      </c>
    </row>
    <row r="67" spans="1:29" x14ac:dyDescent="0.2">
      <c r="A67" s="280">
        <f ca="1">TblConstr[[#This Row],[Land]]</f>
        <v>600</v>
      </c>
      <c r="B67" s="282">
        <f ca="1">TblConstr[[#This Row],[Plain]]</f>
        <v>0</v>
      </c>
      <c r="C67" s="236">
        <f ca="1">TblConstr[[#This Row],[Forest]]</f>
        <v>0</v>
      </c>
      <c r="D67" s="478">
        <f ca="1">TblConstr[[#This Row],[Mountain]]</f>
        <v>0</v>
      </c>
      <c r="E67" s="482">
        <f ca="1">TblConstr[[#This Row],[Hill]]</f>
        <v>0</v>
      </c>
      <c r="F67" s="486">
        <f ca="1">TblConstr[[#This Row],[Swamp]]</f>
        <v>0</v>
      </c>
      <c r="G67" s="239">
        <f ca="1">TblConstr[[#This Row],[Cavern]]</f>
        <v>0</v>
      </c>
      <c r="H67" s="240">
        <f ca="1">TblConstr[[#This Row],[Water]]</f>
        <v>0</v>
      </c>
      <c r="I67" s="281"/>
      <c r="J67" s="228">
        <f t="shared" si="1"/>
        <v>64</v>
      </c>
      <c r="K67" s="305">
        <f ca="1">TblImps[[#This Row],[Real time]]</f>
        <v>44407.374999999847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2686</v>
      </c>
      <c r="W67" s="281"/>
      <c r="X67" s="113">
        <f ca="1">ROUNDUP( (1-MIN(ROUND(facs_rezone_factor*TblRezone[[#This Row],[Facs]],4),facs_rezone_max) + tech_6_4*TblTech[[#This Row],[6-4]] + tech_10_2*TblTech[[#This Row],[10-2]] - IF(TblMagic[[#This Row],[Active Mechanical Genius]]&gt;0,mech_genius_bonus,0) + race_rezone_cost) * TblRezone[[#This Row],[Plat/acre*]],0)</f>
        <v>322</v>
      </c>
      <c r="Y67" s="113">
        <f ca="1">TblRezone[[#This Row],[Total acres]]*TblRezone[[#This Row],[Plat/acre]]</f>
        <v>0</v>
      </c>
      <c r="Z67" s="281"/>
      <c r="AA67" s="113">
        <f ca="1">250+0.6*(TblRezone[[#This Row],[Land]]-250)</f>
        <v>460</v>
      </c>
      <c r="AB67" s="281"/>
      <c r="AC67" s="203">
        <f ca="1">TblConstr[[#This Row],[Facs DB]]</f>
        <v>7.4999999999999997E-2</v>
      </c>
    </row>
    <row r="68" spans="1:29" x14ac:dyDescent="0.2">
      <c r="A68" s="280">
        <f ca="1">TblConstr[[#This Row],[Land]]</f>
        <v>600</v>
      </c>
      <c r="B68" s="282">
        <f ca="1">TblConstr[[#This Row],[Plain]]</f>
        <v>0</v>
      </c>
      <c r="C68" s="236">
        <f ca="1">TblConstr[[#This Row],[Forest]]</f>
        <v>0</v>
      </c>
      <c r="D68" s="478">
        <f ca="1">TblConstr[[#This Row],[Mountain]]</f>
        <v>0</v>
      </c>
      <c r="E68" s="482">
        <f ca="1">TblConstr[[#This Row],[Hill]]</f>
        <v>0</v>
      </c>
      <c r="F68" s="486">
        <f ca="1">TblConstr[[#This Row],[Swamp]]</f>
        <v>0</v>
      </c>
      <c r="G68" s="239">
        <f ca="1">TblConstr[[#This Row],[Cavern]]</f>
        <v>0</v>
      </c>
      <c r="H68" s="240">
        <f ca="1">TblConstr[[#This Row],[Water]]</f>
        <v>0</v>
      </c>
      <c r="I68" s="281"/>
      <c r="J68" s="228">
        <f t="shared" si="1"/>
        <v>65</v>
      </c>
      <c r="K68" s="305">
        <f ca="1">TblImps[[#This Row],[Real time]]</f>
        <v>44407.416666666511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39757</v>
      </c>
      <c r="W68" s="281"/>
      <c r="X68" s="113">
        <f ca="1">ROUNDUP( (1-MIN(ROUND(facs_rezone_factor*TblRezone[[#This Row],[Facs]],4),facs_rezone_max) + tech_6_4*TblTech[[#This Row],[6-4]] + tech_10_2*TblTech[[#This Row],[10-2]] - IF(TblMagic[[#This Row],[Active Mechanical Genius]]&gt;0,mech_genius_bonus,0) + race_rezone_cost) * TblRezone[[#This Row],[Plat/acre*]],0)</f>
        <v>322</v>
      </c>
      <c r="Y68" s="113">
        <f ca="1">TblRezone[[#This Row],[Total acres]]*TblRezone[[#This Row],[Plat/acre]]</f>
        <v>0</v>
      </c>
      <c r="Z68" s="281"/>
      <c r="AA68" s="113">
        <f ca="1">250+0.6*(TblRezone[[#This Row],[Land]]-250)</f>
        <v>460</v>
      </c>
      <c r="AB68" s="281"/>
      <c r="AC68" s="203">
        <f ca="1">TblConstr[[#This Row],[Facs DB]]</f>
        <v>7.4999999999999997E-2</v>
      </c>
    </row>
    <row r="69" spans="1:29" x14ac:dyDescent="0.2">
      <c r="A69" s="280">
        <f ca="1">TblConstr[[#This Row],[Land]]</f>
        <v>600</v>
      </c>
      <c r="B69" s="282">
        <f ca="1">TblConstr[[#This Row],[Plain]]</f>
        <v>0</v>
      </c>
      <c r="C69" s="236">
        <f ca="1">TblConstr[[#This Row],[Forest]]</f>
        <v>0</v>
      </c>
      <c r="D69" s="478">
        <f ca="1">TblConstr[[#This Row],[Mountain]]</f>
        <v>0</v>
      </c>
      <c r="E69" s="482">
        <f ca="1">TblConstr[[#This Row],[Hill]]</f>
        <v>0</v>
      </c>
      <c r="F69" s="486">
        <f ca="1">TblConstr[[#This Row],[Swamp]]</f>
        <v>0</v>
      </c>
      <c r="G69" s="239">
        <f ca="1">TblConstr[[#This Row],[Cavern]]</f>
        <v>0</v>
      </c>
      <c r="H69" s="240">
        <f ca="1">TblConstr[[#This Row],[Water]]</f>
        <v>0</v>
      </c>
      <c r="I69" s="281"/>
      <c r="J69" s="228">
        <f t="shared" si="1"/>
        <v>66</v>
      </c>
      <c r="K69" s="305">
        <f ca="1">TblImps[[#This Row],[Real time]]</f>
        <v>44407.458333333176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76587</v>
      </c>
      <c r="W69" s="281"/>
      <c r="X69" s="113">
        <f ca="1">ROUNDUP( (1-MIN(ROUND(facs_rezone_factor*TblRezone[[#This Row],[Facs]],4),facs_rezone_max) + tech_6_4*TblTech[[#This Row],[6-4]] + tech_10_2*TblTech[[#This Row],[10-2]] - IF(TblMagic[[#This Row],[Active Mechanical Genius]]&gt;0,mech_genius_bonus,0) + race_rezone_cost) * TblRezone[[#This Row],[Plat/acre*]],0)</f>
        <v>322</v>
      </c>
      <c r="Y69" s="113">
        <f ca="1">TblRezone[[#This Row],[Total acres]]*TblRezone[[#This Row],[Plat/acre]]</f>
        <v>0</v>
      </c>
      <c r="Z69" s="281"/>
      <c r="AA69" s="113">
        <f ca="1">250+0.6*(TblRezone[[#This Row],[Land]]-250)</f>
        <v>460</v>
      </c>
      <c r="AB69" s="281"/>
      <c r="AC69" s="203">
        <f ca="1">TblConstr[[#This Row],[Facs DB]]</f>
        <v>7.4999999999999997E-2</v>
      </c>
    </row>
    <row r="70" spans="1:29" x14ac:dyDescent="0.2">
      <c r="A70" s="280">
        <f ca="1">TblConstr[[#This Row],[Land]]</f>
        <v>600</v>
      </c>
      <c r="B70" s="282">
        <f ca="1">TblConstr[[#This Row],[Plain]]</f>
        <v>0</v>
      </c>
      <c r="C70" s="236">
        <f ca="1">TblConstr[[#This Row],[Forest]]</f>
        <v>0</v>
      </c>
      <c r="D70" s="478">
        <f ca="1">TblConstr[[#This Row],[Mountain]]</f>
        <v>0</v>
      </c>
      <c r="E70" s="482">
        <f ca="1">TblConstr[[#This Row],[Hill]]</f>
        <v>0</v>
      </c>
      <c r="F70" s="486">
        <f ca="1">TblConstr[[#This Row],[Swamp]]</f>
        <v>0</v>
      </c>
      <c r="G70" s="239">
        <f ca="1">TblConstr[[#This Row],[Cavern]]</f>
        <v>0</v>
      </c>
      <c r="H70" s="240">
        <f ca="1">TblConstr[[#This Row],[Water]]</f>
        <v>0</v>
      </c>
      <c r="I70" s="281"/>
      <c r="J70" s="228">
        <f t="shared" si="1"/>
        <v>67</v>
      </c>
      <c r="K70" s="305">
        <f ca="1">TblImps[[#This Row],[Real time]]</f>
        <v>44407.49999999984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113180</v>
      </c>
      <c r="W70" s="281"/>
      <c r="X70" s="113">
        <f ca="1">ROUNDUP( (1-MIN(ROUND(facs_rezone_factor*TblRezone[[#This Row],[Facs]],4),facs_rezone_max) + tech_6_4*TblTech[[#This Row],[6-4]] + tech_10_2*TblTech[[#This Row],[10-2]] - IF(TblMagic[[#This Row],[Active Mechanical Genius]]&gt;0,mech_genius_bonus,0) + race_rezone_cost) * TblRezone[[#This Row],[Plat/acre*]],0)</f>
        <v>322</v>
      </c>
      <c r="Y70" s="113">
        <f ca="1">TblRezone[[#This Row],[Total acres]]*TblRezone[[#This Row],[Plat/acre]]</f>
        <v>0</v>
      </c>
      <c r="Z70" s="281"/>
      <c r="AA70" s="113">
        <f ca="1">250+0.6*(TblRezone[[#This Row],[Land]]-250)</f>
        <v>460</v>
      </c>
      <c r="AB70" s="281"/>
      <c r="AC70" s="203">
        <f ca="1">TblConstr[[#This Row],[Facs DB]]</f>
        <v>7.4999999999999997E-2</v>
      </c>
    </row>
    <row r="71" spans="1:29" x14ac:dyDescent="0.2">
      <c r="A71" s="280">
        <f ca="1">TblConstr[[#This Row],[Land]]</f>
        <v>600</v>
      </c>
      <c r="B71" s="282">
        <f ca="1">TblConstr[[#This Row],[Plain]]</f>
        <v>0</v>
      </c>
      <c r="C71" s="236">
        <f ca="1">TblConstr[[#This Row],[Forest]]</f>
        <v>0</v>
      </c>
      <c r="D71" s="478">
        <f ca="1">TblConstr[[#This Row],[Mountain]]</f>
        <v>0</v>
      </c>
      <c r="E71" s="482">
        <f ca="1">TblConstr[[#This Row],[Hill]]</f>
        <v>0</v>
      </c>
      <c r="F71" s="486">
        <f ca="1">TblConstr[[#This Row],[Swamp]]</f>
        <v>0</v>
      </c>
      <c r="G71" s="239">
        <f ca="1">TblConstr[[#This Row],[Cavern]]</f>
        <v>0</v>
      </c>
      <c r="H71" s="240">
        <f ca="1">TblConstr[[#This Row],[Water]]</f>
        <v>0</v>
      </c>
      <c r="I71" s="281"/>
      <c r="J71" s="228">
        <f t="shared" si="1"/>
        <v>68</v>
      </c>
      <c r="K71" s="305">
        <f ca="1">TblImps[[#This Row],[Real time]]</f>
        <v>44407.541666666504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149538</v>
      </c>
      <c r="W71" s="281"/>
      <c r="X71" s="113">
        <f ca="1">ROUNDUP( (1-MIN(ROUND(facs_rezone_factor*TblRezone[[#This Row],[Facs]],4),facs_rezone_max) + tech_6_4*TblTech[[#This Row],[6-4]] + tech_10_2*TblTech[[#This Row],[10-2]] - IF(TblMagic[[#This Row],[Active Mechanical Genius]]&gt;0,mech_genius_bonus,0) + race_rezone_cost) * TblRezone[[#This Row],[Plat/acre*]],0)</f>
        <v>322</v>
      </c>
      <c r="Y71" s="113">
        <f ca="1">TblRezone[[#This Row],[Total acres]]*TblRezone[[#This Row],[Plat/acre]]</f>
        <v>0</v>
      </c>
      <c r="Z71" s="281"/>
      <c r="AA71" s="113">
        <f ca="1">250+0.6*(TblRezone[[#This Row],[Land]]-250)</f>
        <v>460</v>
      </c>
      <c r="AB71" s="281"/>
      <c r="AC71" s="203">
        <f ca="1">TblConstr[[#This Row],[Facs DB]]</f>
        <v>7.4999999999999997E-2</v>
      </c>
    </row>
    <row r="72" spans="1:29" x14ac:dyDescent="0.2">
      <c r="A72" s="280">
        <f ca="1">TblConstr[[#This Row],[Land]]</f>
        <v>600</v>
      </c>
      <c r="B72" s="282">
        <f ca="1">TblConstr[[#This Row],[Plain]]</f>
        <v>0</v>
      </c>
      <c r="C72" s="236">
        <f ca="1">TblConstr[[#This Row],[Forest]]</f>
        <v>0</v>
      </c>
      <c r="D72" s="478">
        <f ca="1">TblConstr[[#This Row],[Mountain]]</f>
        <v>0</v>
      </c>
      <c r="E72" s="482">
        <f ca="1">TblConstr[[#This Row],[Hill]]</f>
        <v>0</v>
      </c>
      <c r="F72" s="486">
        <f ca="1">TblConstr[[#This Row],[Swamp]]</f>
        <v>0</v>
      </c>
      <c r="G72" s="239">
        <f ca="1">TblConstr[[#This Row],[Cavern]]</f>
        <v>0</v>
      </c>
      <c r="H72" s="240">
        <f ca="1">TblConstr[[#This Row],[Water]]</f>
        <v>0</v>
      </c>
      <c r="I72" s="281"/>
      <c r="J72" s="228">
        <f t="shared" si="1"/>
        <v>69</v>
      </c>
      <c r="K72" s="305">
        <f ca="1">TblImps[[#This Row],[Real time]]</f>
        <v>44407.583333333168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185665</v>
      </c>
      <c r="W72" s="281"/>
      <c r="X72" s="113">
        <f ca="1">ROUNDUP( (1-MIN(ROUND(facs_rezone_factor*TblRezone[[#This Row],[Facs]],4),facs_rezone_max) + tech_6_4*TblTech[[#This Row],[6-4]] + tech_10_2*TblTech[[#This Row],[10-2]] - IF(TblMagic[[#This Row],[Active Mechanical Genius]]&gt;0,mech_genius_bonus,0) + race_rezone_cost) * TblRezone[[#This Row],[Plat/acre*]],0)</f>
        <v>322</v>
      </c>
      <c r="Y72" s="113">
        <f ca="1">TblRezone[[#This Row],[Total acres]]*TblRezone[[#This Row],[Plat/acre]]</f>
        <v>0</v>
      </c>
      <c r="Z72" s="281"/>
      <c r="AA72" s="113">
        <f ca="1">250+0.6*(TblRezone[[#This Row],[Land]]-250)</f>
        <v>460</v>
      </c>
      <c r="AB72" s="281"/>
      <c r="AC72" s="203">
        <f ca="1">TblConstr[[#This Row],[Facs DB]]</f>
        <v>7.4999999999999997E-2</v>
      </c>
    </row>
    <row r="73" spans="1:29" x14ac:dyDescent="0.2">
      <c r="A73" s="280">
        <f ca="1">TblConstr[[#This Row],[Land]]</f>
        <v>600</v>
      </c>
      <c r="B73" s="282">
        <f ca="1">TblConstr[[#This Row],[Plain]]</f>
        <v>0</v>
      </c>
      <c r="C73" s="236">
        <f ca="1">TblConstr[[#This Row],[Forest]]</f>
        <v>0</v>
      </c>
      <c r="D73" s="478">
        <f ca="1">TblConstr[[#This Row],[Mountain]]</f>
        <v>0</v>
      </c>
      <c r="E73" s="482">
        <f ca="1">TblConstr[[#This Row],[Hill]]</f>
        <v>0</v>
      </c>
      <c r="F73" s="486">
        <f ca="1">TblConstr[[#This Row],[Swamp]]</f>
        <v>0</v>
      </c>
      <c r="G73" s="239">
        <f ca="1">TblConstr[[#This Row],[Cavern]]</f>
        <v>0</v>
      </c>
      <c r="H73" s="240">
        <f ca="1">TblConstr[[#This Row],[Water]]</f>
        <v>0</v>
      </c>
      <c r="I73" s="281"/>
      <c r="J73" s="228">
        <f t="shared" si="1"/>
        <v>70</v>
      </c>
      <c r="K73" s="305">
        <f ca="1">TblImps[[#This Row],[Real time]]</f>
        <v>44407.624999999833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221560</v>
      </c>
      <c r="W73" s="281"/>
      <c r="X73" s="113">
        <f ca="1">ROUNDUP( (1-MIN(ROUND(facs_rezone_factor*TblRezone[[#This Row],[Facs]],4),facs_rezone_max) + tech_6_4*TblTech[[#This Row],[6-4]] + tech_10_2*TblTech[[#This Row],[10-2]] - IF(TblMagic[[#This Row],[Active Mechanical Genius]]&gt;0,mech_genius_bonus,0) + race_rezone_cost) * TblRezone[[#This Row],[Plat/acre*]],0)</f>
        <v>322</v>
      </c>
      <c r="Y73" s="113">
        <f ca="1">TblRezone[[#This Row],[Total acres]]*TblRezone[[#This Row],[Plat/acre]]</f>
        <v>0</v>
      </c>
      <c r="Z73" s="281"/>
      <c r="AA73" s="113">
        <f ca="1">250+0.6*(TblRezone[[#This Row],[Land]]-250)</f>
        <v>460</v>
      </c>
      <c r="AB73" s="281"/>
      <c r="AC73" s="203">
        <f ca="1">TblConstr[[#This Row],[Facs DB]]</f>
        <v>7.4999999999999997E-2</v>
      </c>
    </row>
    <row r="74" spans="1:29" x14ac:dyDescent="0.2">
      <c r="A74" s="280">
        <f ca="1">TblConstr[[#This Row],[Land]]</f>
        <v>600</v>
      </c>
      <c r="B74" s="282">
        <f ca="1">TblConstr[[#This Row],[Plain]]</f>
        <v>0</v>
      </c>
      <c r="C74" s="236">
        <f ca="1">TblConstr[[#This Row],[Forest]]</f>
        <v>0</v>
      </c>
      <c r="D74" s="478">
        <f ca="1">TblConstr[[#This Row],[Mountain]]</f>
        <v>0</v>
      </c>
      <c r="E74" s="482">
        <f ca="1">TblConstr[[#This Row],[Hill]]</f>
        <v>0</v>
      </c>
      <c r="F74" s="486">
        <f ca="1">TblConstr[[#This Row],[Swamp]]</f>
        <v>0</v>
      </c>
      <c r="G74" s="239">
        <f ca="1">TblConstr[[#This Row],[Cavern]]</f>
        <v>0</v>
      </c>
      <c r="H74" s="240">
        <f ca="1">TblConstr[[#This Row],[Water]]</f>
        <v>0</v>
      </c>
      <c r="I74" s="281"/>
      <c r="J74" s="228">
        <f t="shared" si="1"/>
        <v>71</v>
      </c>
      <c r="K74" s="305">
        <f ca="1">TblImps[[#This Row],[Real time]]</f>
        <v>44407.666666666497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257226</v>
      </c>
      <c r="W74" s="281"/>
      <c r="X74" s="113">
        <f ca="1">ROUNDUP( (1-MIN(ROUND(facs_rezone_factor*TblRezone[[#This Row],[Facs]],4),facs_rezone_max) + tech_6_4*TblTech[[#This Row],[6-4]] + tech_10_2*TblTech[[#This Row],[10-2]] - IF(TblMagic[[#This Row],[Active Mechanical Genius]]&gt;0,mech_genius_bonus,0) + race_rezone_cost) * TblRezone[[#This Row],[Plat/acre*]],0)</f>
        <v>322</v>
      </c>
      <c r="Y74" s="113">
        <f ca="1">TblRezone[[#This Row],[Total acres]]*TblRezone[[#This Row],[Plat/acre]]</f>
        <v>0</v>
      </c>
      <c r="Z74" s="281"/>
      <c r="AA74" s="113">
        <f ca="1">250+0.6*(TblRezone[[#This Row],[Land]]-250)</f>
        <v>460</v>
      </c>
      <c r="AB74" s="281"/>
      <c r="AC74" s="203">
        <f ca="1">TblConstr[[#This Row],[Facs DB]]</f>
        <v>7.4999999999999997E-2</v>
      </c>
    </row>
    <row r="75" spans="1:29" x14ac:dyDescent="0.2">
      <c r="A75" s="280">
        <f ca="1">TblConstr[[#This Row],[Land]]</f>
        <v>600</v>
      </c>
      <c r="B75" s="282">
        <f ca="1">TblConstr[[#This Row],[Plain]]</f>
        <v>0</v>
      </c>
      <c r="C75" s="236">
        <f ca="1">TblConstr[[#This Row],[Forest]]</f>
        <v>0</v>
      </c>
      <c r="D75" s="478">
        <f ca="1">TblConstr[[#This Row],[Mountain]]</f>
        <v>0</v>
      </c>
      <c r="E75" s="482">
        <f ca="1">TblConstr[[#This Row],[Hill]]</f>
        <v>0</v>
      </c>
      <c r="F75" s="486">
        <f ca="1">TblConstr[[#This Row],[Swamp]]</f>
        <v>0</v>
      </c>
      <c r="G75" s="239">
        <f ca="1">TblConstr[[#This Row],[Cavern]]</f>
        <v>0</v>
      </c>
      <c r="H75" s="240">
        <f ca="1">TblConstr[[#This Row],[Water]]</f>
        <v>0</v>
      </c>
      <c r="I75" s="281"/>
      <c r="J75" s="228">
        <f t="shared" si="1"/>
        <v>72</v>
      </c>
      <c r="K75" s="305">
        <f ca="1">TblImps[[#This Row],[Real time]]</f>
        <v>44407.708333333161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292667</v>
      </c>
      <c r="W75" s="281"/>
      <c r="X75" s="113">
        <f ca="1">ROUNDUP( (1-MIN(ROUND(facs_rezone_factor*TblRezone[[#This Row],[Facs]],4),facs_rezone_max) + tech_6_4*TblTech[[#This Row],[6-4]] + tech_10_2*TblTech[[#This Row],[10-2]] - IF(TblMagic[[#This Row],[Active Mechanical Genius]]&gt;0,mech_genius_bonus,0) + race_rezone_cost) * TblRezone[[#This Row],[Plat/acre*]],0)</f>
        <v>322</v>
      </c>
      <c r="Y75" s="113">
        <f ca="1">TblRezone[[#This Row],[Total acres]]*TblRezone[[#This Row],[Plat/acre]]</f>
        <v>0</v>
      </c>
      <c r="Z75" s="281"/>
      <c r="AA75" s="113">
        <f ca="1">250+0.6*(TblRezone[[#This Row],[Land]]-250)</f>
        <v>460</v>
      </c>
      <c r="AB75" s="281"/>
      <c r="AC75" s="203">
        <f ca="1">TblConstr[[#This Row],[Facs DB]]</f>
        <v>7.4999999999999997E-2</v>
      </c>
    </row>
    <row r="76" spans="1:29" x14ac:dyDescent="0.2">
      <c r="A76" s="297">
        <f ca="1">TblConstr[[#This Row],[Land]]</f>
        <v>600</v>
      </c>
      <c r="B76" s="299">
        <f ca="1">TblConstr[[#This Row],[Plain]]</f>
        <v>0</v>
      </c>
      <c r="C76" s="254">
        <f ca="1">TblConstr[[#This Row],[Forest]]</f>
        <v>0</v>
      </c>
      <c r="D76" s="479">
        <f ca="1">TblConstr[[#This Row],[Mountain]]</f>
        <v>0</v>
      </c>
      <c r="E76" s="483">
        <f ca="1">TblConstr[[#This Row],[Hill]]</f>
        <v>0</v>
      </c>
      <c r="F76" s="487">
        <f ca="1">TblConstr[[#This Row],[Swamp]]</f>
        <v>0</v>
      </c>
      <c r="G76" s="257">
        <f ca="1">TblConstr[[#This Row],[Cavern]]</f>
        <v>0</v>
      </c>
      <c r="H76" s="258">
        <f ca="1">TblConstr[[#This Row],[Water]]</f>
        <v>0</v>
      </c>
      <c r="I76" s="298"/>
      <c r="J76" s="248">
        <f t="shared" si="1"/>
        <v>73</v>
      </c>
      <c r="K76" s="306">
        <f ca="1">TblImps[[#This Row],[Real time]]</f>
        <v>44407.749999999825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327885</v>
      </c>
      <c r="W76" s="298"/>
      <c r="X76" s="262">
        <f ca="1">ROUNDUP( (1-MIN(ROUND(facs_rezone_factor*TblRezone[[#This Row],[Facs]],4),facs_rezone_max) + tech_6_4*TblTech[[#This Row],[6-4]] + tech_10_2*TblTech[[#This Row],[10-2]] - IF(TblMagic[[#This Row],[Active Mechanical Genius]]&gt;0,mech_genius_bonus,0) + race_rezone_cost) * TblRezone[[#This Row],[Plat/acre*]],0)</f>
        <v>322</v>
      </c>
      <c r="Y76" s="262">
        <f ca="1">TblRezone[[#This Row],[Total acres]]*TblRezone[[#This Row],[Plat/acre]]</f>
        <v>0</v>
      </c>
      <c r="Z76" s="298"/>
      <c r="AA76" s="262">
        <f ca="1">250+0.6*(TblRezone[[#This Row],[Land]]-250)</f>
        <v>460</v>
      </c>
      <c r="AB76" s="298"/>
      <c r="AC76" s="307">
        <f ca="1">TblConstr[[#This Row],[Facs DB]]</f>
        <v>7.4999999999999997E-2</v>
      </c>
    </row>
    <row r="77" spans="1:29" x14ac:dyDescent="0.2">
      <c r="A77" s="280">
        <f ca="1">TblConstr[[#This Row],[Land]]</f>
        <v>600</v>
      </c>
      <c r="B77" s="282">
        <f ca="1">TblConstr[[#This Row],[Plain]]</f>
        <v>0</v>
      </c>
      <c r="C77" s="236">
        <f ca="1">TblConstr[[#This Row],[Forest]]</f>
        <v>0</v>
      </c>
      <c r="D77" s="478">
        <f ca="1">TblConstr[[#This Row],[Mountain]]</f>
        <v>0</v>
      </c>
      <c r="E77" s="482">
        <f ca="1">TblConstr[[#This Row],[Hill]]</f>
        <v>0</v>
      </c>
      <c r="F77" s="486">
        <f ca="1">TblConstr[[#This Row],[Swamp]]</f>
        <v>0</v>
      </c>
      <c r="G77" s="239">
        <f ca="1">TblConstr[[#This Row],[Cavern]]</f>
        <v>0</v>
      </c>
      <c r="H77" s="240">
        <f ca="1">TblConstr[[#This Row],[Water]]</f>
        <v>0</v>
      </c>
      <c r="I77" s="281"/>
      <c r="J77" s="228">
        <f t="shared" ref="J77:J87" si="2">J76+1</f>
        <v>74</v>
      </c>
      <c r="K77" s="305">
        <f ca="1">TblImps[[#This Row],[Real time]]</f>
        <v>44407.79166666649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362880</v>
      </c>
      <c r="W77" s="281"/>
      <c r="X77" s="113">
        <f ca="1">ROUNDUP( (1-MIN(ROUND(facs_rezone_factor*TblRezone[[#This Row],[Facs]],4),facs_rezone_max) + tech_6_4*TblTech[[#This Row],[6-4]] + tech_10_2*TblTech[[#This Row],[10-2]] - IF(TblMagic[[#This Row],[Active Mechanical Genius]]&gt;0,mech_genius_bonus,0) + race_rezone_cost) * TblRezone[[#This Row],[Plat/acre*]],0)</f>
        <v>322</v>
      </c>
      <c r="Y77" s="113">
        <f ca="1">TblRezone[[#This Row],[Total acres]]*TblRezone[[#This Row],[Plat/acre]]</f>
        <v>0</v>
      </c>
      <c r="Z77" s="281"/>
      <c r="AA77" s="113">
        <f ca="1">250+0.6*(TblRezone[[#This Row],[Land]]-250)</f>
        <v>460</v>
      </c>
      <c r="AB77" s="281"/>
      <c r="AC77" s="203">
        <f ca="1">TblConstr[[#This Row],[Facs DB]]</f>
        <v>7.4999999999999997E-2</v>
      </c>
    </row>
    <row r="78" spans="1:29" x14ac:dyDescent="0.2">
      <c r="A78" s="280">
        <f ca="1">TblConstr[[#This Row],[Land]]</f>
        <v>600</v>
      </c>
      <c r="B78" s="282">
        <f ca="1">TblConstr[[#This Row],[Plain]]</f>
        <v>0</v>
      </c>
      <c r="C78" s="236">
        <f ca="1">TblConstr[[#This Row],[Forest]]</f>
        <v>0</v>
      </c>
      <c r="D78" s="478">
        <f ca="1">TblConstr[[#This Row],[Mountain]]</f>
        <v>0</v>
      </c>
      <c r="E78" s="482">
        <f ca="1">TblConstr[[#This Row],[Hill]]</f>
        <v>0</v>
      </c>
      <c r="F78" s="486">
        <f ca="1">TblConstr[[#This Row],[Swamp]]</f>
        <v>0</v>
      </c>
      <c r="G78" s="239">
        <f ca="1">TblConstr[[#This Row],[Cavern]]</f>
        <v>0</v>
      </c>
      <c r="H78" s="240">
        <f ca="1">TblConstr[[#This Row],[Water]]</f>
        <v>0</v>
      </c>
      <c r="I78" s="281"/>
      <c r="J78" s="228">
        <f t="shared" si="2"/>
        <v>75</v>
      </c>
      <c r="K78" s="305">
        <f ca="1">TblImps[[#This Row],[Real time]]</f>
        <v>44407.833333333154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397655</v>
      </c>
      <c r="W78" s="281"/>
      <c r="X78" s="113">
        <f ca="1">ROUNDUP( (1-MIN(ROUND(facs_rezone_factor*TblRezone[[#This Row],[Facs]],4),facs_rezone_max) + tech_6_4*TblTech[[#This Row],[6-4]] + tech_10_2*TblTech[[#This Row],[10-2]] - IF(TblMagic[[#This Row],[Active Mechanical Genius]]&gt;0,mech_genius_bonus,0) + race_rezone_cost) * TblRezone[[#This Row],[Plat/acre*]],0)</f>
        <v>322</v>
      </c>
      <c r="Y78" s="113">
        <f ca="1">TblRezone[[#This Row],[Total acres]]*TblRezone[[#This Row],[Plat/acre]]</f>
        <v>0</v>
      </c>
      <c r="Z78" s="281"/>
      <c r="AA78" s="113">
        <f ca="1">250+0.6*(TblRezone[[#This Row],[Land]]-250)</f>
        <v>460</v>
      </c>
      <c r="AB78" s="281"/>
      <c r="AC78" s="203">
        <f ca="1">TblConstr[[#This Row],[Facs DB]]</f>
        <v>7.4999999999999997E-2</v>
      </c>
    </row>
    <row r="79" spans="1:29" x14ac:dyDescent="0.2">
      <c r="A79" s="280">
        <f ca="1">TblConstr[[#This Row],[Land]]</f>
        <v>600</v>
      </c>
      <c r="B79" s="282">
        <f ca="1">TblConstr[[#This Row],[Plain]]</f>
        <v>0</v>
      </c>
      <c r="C79" s="236">
        <f ca="1">TblConstr[[#This Row],[Forest]]</f>
        <v>0</v>
      </c>
      <c r="D79" s="478">
        <f ca="1">TblConstr[[#This Row],[Mountain]]</f>
        <v>0</v>
      </c>
      <c r="E79" s="482">
        <f ca="1">TblConstr[[#This Row],[Hill]]</f>
        <v>0</v>
      </c>
      <c r="F79" s="486">
        <f ca="1">TblConstr[[#This Row],[Swamp]]</f>
        <v>0</v>
      </c>
      <c r="G79" s="239">
        <f ca="1">TblConstr[[#This Row],[Cavern]]</f>
        <v>0</v>
      </c>
      <c r="H79" s="240">
        <f ca="1">TblConstr[[#This Row],[Water]]</f>
        <v>0</v>
      </c>
      <c r="I79" s="281"/>
      <c r="J79" s="228">
        <f t="shared" si="2"/>
        <v>76</v>
      </c>
      <c r="K79" s="305">
        <f ca="1">TblImps[[#This Row],[Real time]]</f>
        <v>44407.874999999818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432213</v>
      </c>
      <c r="W79" s="281"/>
      <c r="X79" s="113">
        <f ca="1">ROUNDUP( (1-MIN(ROUND(facs_rezone_factor*TblRezone[[#This Row],[Facs]],4),facs_rezone_max) + tech_6_4*TblTech[[#This Row],[6-4]] + tech_10_2*TblTech[[#This Row],[10-2]] - IF(TblMagic[[#This Row],[Active Mechanical Genius]]&gt;0,mech_genius_bonus,0) + race_rezone_cost) * TblRezone[[#This Row],[Plat/acre*]],0)</f>
        <v>322</v>
      </c>
      <c r="Y79" s="113">
        <f ca="1">TblRezone[[#This Row],[Total acres]]*TblRezone[[#This Row],[Plat/acre]]</f>
        <v>0</v>
      </c>
      <c r="Z79" s="281"/>
      <c r="AA79" s="113">
        <f ca="1">250+0.6*(TblRezone[[#This Row],[Land]]-250)</f>
        <v>460</v>
      </c>
      <c r="AB79" s="281"/>
      <c r="AC79" s="203">
        <f ca="1">TblConstr[[#This Row],[Facs DB]]</f>
        <v>7.4999999999999997E-2</v>
      </c>
    </row>
    <row r="80" spans="1:29" x14ac:dyDescent="0.2">
      <c r="A80" s="280">
        <f ca="1">TblConstr[[#This Row],[Land]]</f>
        <v>600</v>
      </c>
      <c r="B80" s="282">
        <f ca="1">TblConstr[[#This Row],[Plain]]</f>
        <v>0</v>
      </c>
      <c r="C80" s="236">
        <f ca="1">TblConstr[[#This Row],[Forest]]</f>
        <v>0</v>
      </c>
      <c r="D80" s="478">
        <f ca="1">TblConstr[[#This Row],[Mountain]]</f>
        <v>0</v>
      </c>
      <c r="E80" s="482">
        <f ca="1">TblConstr[[#This Row],[Hill]]</f>
        <v>0</v>
      </c>
      <c r="F80" s="486">
        <f ca="1">TblConstr[[#This Row],[Swamp]]</f>
        <v>0</v>
      </c>
      <c r="G80" s="239">
        <f ca="1">TblConstr[[#This Row],[Cavern]]</f>
        <v>0</v>
      </c>
      <c r="H80" s="240">
        <f ca="1">TblConstr[[#This Row],[Water]]</f>
        <v>0</v>
      </c>
      <c r="I80" s="281"/>
      <c r="J80" s="228">
        <f t="shared" si="2"/>
        <v>77</v>
      </c>
      <c r="K80" s="305">
        <f ca="1">TblImps[[#This Row],[Real time]]</f>
        <v>44407.916666666482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463435</v>
      </c>
      <c r="W80" s="281"/>
      <c r="X80" s="113">
        <f ca="1">ROUNDUP( (1-MIN(ROUND(facs_rezone_factor*TblRezone[[#This Row],[Facs]],4),facs_rezone_max) + tech_6_4*TblTech[[#This Row],[6-4]] + tech_10_2*TblTech[[#This Row],[10-2]] - IF(TblMagic[[#This Row],[Active Mechanical Genius]]&gt;0,mech_genius_bonus,0) + race_rezone_cost) * TblRezone[[#This Row],[Plat/acre*]],0)</f>
        <v>322</v>
      </c>
      <c r="Y80" s="113">
        <f ca="1">TblRezone[[#This Row],[Total acres]]*TblRezone[[#This Row],[Plat/acre]]</f>
        <v>0</v>
      </c>
      <c r="Z80" s="281"/>
      <c r="AA80" s="113">
        <f ca="1">250+0.6*(TblRezone[[#This Row],[Land]]-250)</f>
        <v>460</v>
      </c>
      <c r="AB80" s="281"/>
      <c r="AC80" s="203">
        <f ca="1">TblConstr[[#This Row],[Facs DB]]</f>
        <v>7.4999999999999997E-2</v>
      </c>
    </row>
    <row r="81" spans="1:29" x14ac:dyDescent="0.2">
      <c r="A81" s="280">
        <f ca="1">TblConstr[[#This Row],[Land]]</f>
        <v>600</v>
      </c>
      <c r="B81" s="282">
        <f ca="1">TblConstr[[#This Row],[Plain]]</f>
        <v>0</v>
      </c>
      <c r="C81" s="236">
        <f ca="1">TblConstr[[#This Row],[Forest]]</f>
        <v>0</v>
      </c>
      <c r="D81" s="478">
        <f ca="1">TblConstr[[#This Row],[Mountain]]</f>
        <v>0</v>
      </c>
      <c r="E81" s="482">
        <f ca="1">TblConstr[[#This Row],[Hill]]</f>
        <v>0</v>
      </c>
      <c r="F81" s="486">
        <f ca="1">TblConstr[[#This Row],[Swamp]]</f>
        <v>0</v>
      </c>
      <c r="G81" s="239">
        <f ca="1">TblConstr[[#This Row],[Cavern]]</f>
        <v>0</v>
      </c>
      <c r="H81" s="240">
        <f ca="1">TblConstr[[#This Row],[Water]]</f>
        <v>0</v>
      </c>
      <c r="I81" s="281"/>
      <c r="J81" s="228">
        <f t="shared" si="2"/>
        <v>78</v>
      </c>
      <c r="K81" s="305">
        <f ca="1">TblImps[[#This Row],[Real time]]</f>
        <v>44407.958333333147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494463</v>
      </c>
      <c r="W81" s="281"/>
      <c r="X81" s="113">
        <f ca="1">ROUNDUP( (1-MIN(ROUND(facs_rezone_factor*TblRezone[[#This Row],[Facs]],4),facs_rezone_max) + tech_6_4*TblTech[[#This Row],[6-4]] + tech_10_2*TblTech[[#This Row],[10-2]] - IF(TblMagic[[#This Row],[Active Mechanical Genius]]&gt;0,mech_genius_bonus,0) + race_rezone_cost) * TblRezone[[#This Row],[Plat/acre*]],0)</f>
        <v>322</v>
      </c>
      <c r="Y81" s="113">
        <f ca="1">TblRezone[[#This Row],[Total acres]]*TblRezone[[#This Row],[Plat/acre]]</f>
        <v>0</v>
      </c>
      <c r="Z81" s="281"/>
      <c r="AA81" s="113">
        <f ca="1">250+0.6*(TblRezone[[#This Row],[Land]]-250)</f>
        <v>460</v>
      </c>
      <c r="AB81" s="281"/>
      <c r="AC81" s="203">
        <f ca="1">TblConstr[[#This Row],[Facs DB]]</f>
        <v>7.4999999999999997E-2</v>
      </c>
    </row>
    <row r="82" spans="1:29" x14ac:dyDescent="0.2">
      <c r="A82" s="280">
        <f ca="1">TblConstr[[#This Row],[Land]]</f>
        <v>600</v>
      </c>
      <c r="B82" s="282">
        <f ca="1">TblConstr[[#This Row],[Plain]]</f>
        <v>0</v>
      </c>
      <c r="C82" s="236">
        <f ca="1">TblConstr[[#This Row],[Forest]]</f>
        <v>0</v>
      </c>
      <c r="D82" s="478">
        <f ca="1">TblConstr[[#This Row],[Mountain]]</f>
        <v>0</v>
      </c>
      <c r="E82" s="482">
        <f ca="1">TblConstr[[#This Row],[Hill]]</f>
        <v>0</v>
      </c>
      <c r="F82" s="486">
        <f ca="1">TblConstr[[#This Row],[Swamp]]</f>
        <v>0</v>
      </c>
      <c r="G82" s="239">
        <f ca="1">TblConstr[[#This Row],[Cavern]]</f>
        <v>0</v>
      </c>
      <c r="H82" s="240">
        <f ca="1">TblConstr[[#This Row],[Water]]</f>
        <v>0</v>
      </c>
      <c r="I82" s="281"/>
      <c r="J82" s="228">
        <f t="shared" si="2"/>
        <v>79</v>
      </c>
      <c r="K82" s="305">
        <f ca="1">TblImps[[#This Row],[Real time]]</f>
        <v>44407.999999999811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525299</v>
      </c>
      <c r="W82" s="281"/>
      <c r="X82" s="113">
        <f ca="1">ROUNDUP( (1-MIN(ROUND(facs_rezone_factor*TblRezone[[#This Row],[Facs]],4),facs_rezone_max) + tech_6_4*TblTech[[#This Row],[6-4]] + tech_10_2*TblTech[[#This Row],[10-2]] - IF(TblMagic[[#This Row],[Active Mechanical Genius]]&gt;0,mech_genius_bonus,0) + race_rezone_cost) * TblRezone[[#This Row],[Plat/acre*]],0)</f>
        <v>322</v>
      </c>
      <c r="Y82" s="113">
        <f ca="1">TblRezone[[#This Row],[Total acres]]*TblRezone[[#This Row],[Plat/acre]]</f>
        <v>0</v>
      </c>
      <c r="Z82" s="281"/>
      <c r="AA82" s="113">
        <f ca="1">250+0.6*(TblRezone[[#This Row],[Land]]-250)</f>
        <v>460</v>
      </c>
      <c r="AB82" s="281"/>
      <c r="AC82" s="203">
        <f ca="1">TblConstr[[#This Row],[Facs DB]]</f>
        <v>7.4999999999999997E-2</v>
      </c>
    </row>
    <row r="83" spans="1:29" x14ac:dyDescent="0.2">
      <c r="A83" s="280">
        <f ca="1">TblConstr[[#This Row],[Land]]</f>
        <v>600</v>
      </c>
      <c r="B83" s="282">
        <f ca="1">TblConstr[[#This Row],[Plain]]</f>
        <v>0</v>
      </c>
      <c r="C83" s="236">
        <f ca="1">TblConstr[[#This Row],[Forest]]</f>
        <v>0</v>
      </c>
      <c r="D83" s="478">
        <f ca="1">TblConstr[[#This Row],[Mountain]]</f>
        <v>0</v>
      </c>
      <c r="E83" s="482">
        <f ca="1">TblConstr[[#This Row],[Hill]]</f>
        <v>0</v>
      </c>
      <c r="F83" s="486">
        <f ca="1">TblConstr[[#This Row],[Swamp]]</f>
        <v>0</v>
      </c>
      <c r="G83" s="239">
        <f ca="1">TblConstr[[#This Row],[Cavern]]</f>
        <v>0</v>
      </c>
      <c r="H83" s="240">
        <f ca="1">TblConstr[[#This Row],[Water]]</f>
        <v>0</v>
      </c>
      <c r="I83" s="281"/>
      <c r="J83" s="228">
        <f t="shared" si="2"/>
        <v>80</v>
      </c>
      <c r="K83" s="305">
        <f ca="1">TblImps[[#This Row],[Real time]]</f>
        <v>44408.041666666475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555946</v>
      </c>
      <c r="W83" s="281"/>
      <c r="X83" s="113">
        <f ca="1">ROUNDUP( (1-MIN(ROUND(facs_rezone_factor*TblRezone[[#This Row],[Facs]],4),facs_rezone_max) + tech_6_4*TblTech[[#This Row],[6-4]] + tech_10_2*TblTech[[#This Row],[10-2]] - IF(TblMagic[[#This Row],[Active Mechanical Genius]]&gt;0,mech_genius_bonus,0) + race_rezone_cost) * TblRezone[[#This Row],[Plat/acre*]],0)</f>
        <v>322</v>
      </c>
      <c r="Y83" s="113">
        <f ca="1">TblRezone[[#This Row],[Total acres]]*TblRezone[[#This Row],[Plat/acre]]</f>
        <v>0</v>
      </c>
      <c r="Z83" s="281"/>
      <c r="AA83" s="113">
        <f ca="1">250+0.6*(TblRezone[[#This Row],[Land]]-250)</f>
        <v>460</v>
      </c>
      <c r="AB83" s="281"/>
      <c r="AC83" s="203">
        <f ca="1">TblConstr[[#This Row],[Facs DB]]</f>
        <v>7.4999999999999997E-2</v>
      </c>
    </row>
    <row r="84" spans="1:29" x14ac:dyDescent="0.2">
      <c r="A84" s="280">
        <f ca="1">TblConstr[[#This Row],[Land]]</f>
        <v>600</v>
      </c>
      <c r="B84" s="282">
        <f ca="1">TblConstr[[#This Row],[Plain]]</f>
        <v>0</v>
      </c>
      <c r="C84" s="236">
        <f ca="1">TblConstr[[#This Row],[Forest]]</f>
        <v>0</v>
      </c>
      <c r="D84" s="478">
        <f ca="1">TblConstr[[#This Row],[Mountain]]</f>
        <v>0</v>
      </c>
      <c r="E84" s="482">
        <f ca="1">TblConstr[[#This Row],[Hill]]</f>
        <v>0</v>
      </c>
      <c r="F84" s="486">
        <f ca="1">TblConstr[[#This Row],[Swamp]]</f>
        <v>0</v>
      </c>
      <c r="G84" s="239">
        <f ca="1">TblConstr[[#This Row],[Cavern]]</f>
        <v>0</v>
      </c>
      <c r="H84" s="240">
        <f ca="1">TblConstr[[#This Row],[Water]]</f>
        <v>0</v>
      </c>
      <c r="I84" s="281"/>
      <c r="J84" s="228">
        <f t="shared" si="2"/>
        <v>81</v>
      </c>
      <c r="K84" s="305">
        <f ca="1">TblImps[[#This Row],[Real time]]</f>
        <v>44408.083333333139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586404</v>
      </c>
      <c r="W84" s="281"/>
      <c r="X84" s="113">
        <f ca="1">ROUNDUP( (1-MIN(ROUND(facs_rezone_factor*TblRezone[[#This Row],[Facs]],4),facs_rezone_max) + tech_6_4*TblTech[[#This Row],[6-4]] + tech_10_2*TblTech[[#This Row],[10-2]] - IF(TblMagic[[#This Row],[Active Mechanical Genius]]&gt;0,mech_genius_bonus,0) + race_rezone_cost) * TblRezone[[#This Row],[Plat/acre*]],0)</f>
        <v>322</v>
      </c>
      <c r="Y84" s="113">
        <f ca="1">TblRezone[[#This Row],[Total acres]]*TblRezone[[#This Row],[Plat/acre]]</f>
        <v>0</v>
      </c>
      <c r="Z84" s="281"/>
      <c r="AA84" s="113">
        <f ca="1">250+0.6*(TblRezone[[#This Row],[Land]]-250)</f>
        <v>460</v>
      </c>
      <c r="AB84" s="281"/>
      <c r="AC84" s="203">
        <f ca="1">TblConstr[[#This Row],[Facs DB]]</f>
        <v>7.4999999999999997E-2</v>
      </c>
    </row>
    <row r="85" spans="1:29" x14ac:dyDescent="0.2">
      <c r="A85" s="280">
        <f ca="1">TblConstr[[#This Row],[Land]]</f>
        <v>600</v>
      </c>
      <c r="B85" s="282">
        <f ca="1">TblConstr[[#This Row],[Plain]]</f>
        <v>0</v>
      </c>
      <c r="C85" s="236">
        <f ca="1">TblConstr[[#This Row],[Forest]]</f>
        <v>0</v>
      </c>
      <c r="D85" s="478">
        <f ca="1">TblConstr[[#This Row],[Mountain]]</f>
        <v>0</v>
      </c>
      <c r="E85" s="482">
        <f ca="1">TblConstr[[#This Row],[Hill]]</f>
        <v>0</v>
      </c>
      <c r="F85" s="486">
        <f ca="1">TblConstr[[#This Row],[Swamp]]</f>
        <v>0</v>
      </c>
      <c r="G85" s="239">
        <f ca="1">TblConstr[[#This Row],[Cavern]]</f>
        <v>0</v>
      </c>
      <c r="H85" s="240">
        <f ca="1">TblConstr[[#This Row],[Water]]</f>
        <v>0</v>
      </c>
      <c r="I85" s="281"/>
      <c r="J85" s="228">
        <f t="shared" si="2"/>
        <v>82</v>
      </c>
      <c r="K85" s="305">
        <f ca="1">TblImps[[#This Row],[Real time]]</f>
        <v>44408.124999999804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616676</v>
      </c>
      <c r="W85" s="281"/>
      <c r="X85" s="113">
        <f ca="1">ROUNDUP( (1-MIN(ROUND(facs_rezone_factor*TblRezone[[#This Row],[Facs]],4),facs_rezone_max) + tech_6_4*TblTech[[#This Row],[6-4]] + tech_10_2*TblTech[[#This Row],[10-2]] - IF(TblMagic[[#This Row],[Active Mechanical Genius]]&gt;0,mech_genius_bonus,0) + race_rezone_cost) * TblRezone[[#This Row],[Plat/acre*]],0)</f>
        <v>322</v>
      </c>
      <c r="Y85" s="113">
        <f ca="1">TblRezone[[#This Row],[Total acres]]*TblRezone[[#This Row],[Plat/acre]]</f>
        <v>0</v>
      </c>
      <c r="Z85" s="281"/>
      <c r="AA85" s="113">
        <f ca="1">250+0.6*(TblRezone[[#This Row],[Land]]-250)</f>
        <v>460</v>
      </c>
      <c r="AB85" s="281"/>
      <c r="AC85" s="203">
        <f ca="1">TblConstr[[#This Row],[Facs DB]]</f>
        <v>7.4999999999999997E-2</v>
      </c>
    </row>
    <row r="86" spans="1:29" x14ac:dyDescent="0.2">
      <c r="A86" s="280">
        <f ca="1">TblConstr[[#This Row],[Land]]</f>
        <v>600</v>
      </c>
      <c r="B86" s="282">
        <f ca="1">TblConstr[[#This Row],[Plain]]</f>
        <v>0</v>
      </c>
      <c r="C86" s="236">
        <f ca="1">TblConstr[[#This Row],[Forest]]</f>
        <v>0</v>
      </c>
      <c r="D86" s="478">
        <f ca="1">TblConstr[[#This Row],[Mountain]]</f>
        <v>0</v>
      </c>
      <c r="E86" s="482">
        <f ca="1">TblConstr[[#This Row],[Hill]]</f>
        <v>0</v>
      </c>
      <c r="F86" s="486">
        <f ca="1">TblConstr[[#This Row],[Swamp]]</f>
        <v>0</v>
      </c>
      <c r="G86" s="239">
        <f ca="1">TblConstr[[#This Row],[Cavern]]</f>
        <v>0</v>
      </c>
      <c r="H86" s="240">
        <f ca="1">TblConstr[[#This Row],[Water]]</f>
        <v>0</v>
      </c>
      <c r="I86" s="281"/>
      <c r="J86" s="228">
        <f t="shared" si="2"/>
        <v>83</v>
      </c>
      <c r="K86" s="305">
        <f ca="1">TblImps[[#This Row],[Real time]]</f>
        <v>44408.166666666468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646764</v>
      </c>
      <c r="W86" s="281"/>
      <c r="X86" s="113">
        <f ca="1">ROUNDUP( (1-MIN(ROUND(facs_rezone_factor*TblRezone[[#This Row],[Facs]],4),facs_rezone_max) + tech_6_4*TblTech[[#This Row],[6-4]] + tech_10_2*TblTech[[#This Row],[10-2]] - IF(TblMagic[[#This Row],[Active Mechanical Genius]]&gt;0,mech_genius_bonus,0) + race_rezone_cost) * TblRezone[[#This Row],[Plat/acre*]],0)</f>
        <v>322</v>
      </c>
      <c r="Y86" s="113">
        <f ca="1">TblRezone[[#This Row],[Total acres]]*TblRezone[[#This Row],[Plat/acre]]</f>
        <v>0</v>
      </c>
      <c r="Z86" s="281"/>
      <c r="AA86" s="113">
        <f ca="1">250+0.6*(TblRezone[[#This Row],[Land]]-250)</f>
        <v>460</v>
      </c>
      <c r="AB86" s="281"/>
      <c r="AC86" s="203">
        <f ca="1">TblConstr[[#This Row],[Facs DB]]</f>
        <v>7.4999999999999997E-2</v>
      </c>
    </row>
    <row r="87" spans="1:29" x14ac:dyDescent="0.2">
      <c r="A87" s="280">
        <f ca="1">TblConstr[[#This Row],[Land]]</f>
        <v>600</v>
      </c>
      <c r="B87" s="282">
        <f ca="1">TblConstr[[#This Row],[Plain]]</f>
        <v>0</v>
      </c>
      <c r="C87" s="236">
        <f ca="1">TblConstr[[#This Row],[Forest]]</f>
        <v>0</v>
      </c>
      <c r="D87" s="478">
        <f ca="1">TblConstr[[#This Row],[Mountain]]</f>
        <v>0</v>
      </c>
      <c r="E87" s="482">
        <f ca="1">TblConstr[[#This Row],[Hill]]</f>
        <v>0</v>
      </c>
      <c r="F87" s="486">
        <f ca="1">TblConstr[[#This Row],[Swamp]]</f>
        <v>0</v>
      </c>
      <c r="G87" s="239">
        <f ca="1">TblConstr[[#This Row],[Cavern]]</f>
        <v>0</v>
      </c>
      <c r="H87" s="240">
        <f ca="1">TblConstr[[#This Row],[Water]]</f>
        <v>0</v>
      </c>
      <c r="I87" s="281"/>
      <c r="J87" s="228">
        <f t="shared" si="2"/>
        <v>84</v>
      </c>
      <c r="K87" s="305">
        <f ca="1">TblImps[[#This Row],[Real time]]</f>
        <v>44408.208333333132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676671</v>
      </c>
      <c r="W87" s="281"/>
      <c r="X87" s="113">
        <f ca="1">ROUNDUP( (1-MIN(ROUND(facs_rezone_factor*TblRezone[[#This Row],[Facs]],4),facs_rezone_max) + tech_6_4*TblTech[[#This Row],[6-4]] + tech_10_2*TblTech[[#This Row],[10-2]] - IF(TblMagic[[#This Row],[Active Mechanical Genius]]&gt;0,mech_genius_bonus,0) + race_rezone_cost) * TblRezone[[#This Row],[Plat/acre*]],0)</f>
        <v>322</v>
      </c>
      <c r="Y87" s="113">
        <f ca="1">TblRezone[[#This Row],[Total acres]]*TblRezone[[#This Row],[Plat/acre]]</f>
        <v>0</v>
      </c>
      <c r="Z87" s="281"/>
      <c r="AA87" s="113">
        <f ca="1">250+0.6*(TblRezone[[#This Row],[Land]]-250)</f>
        <v>460</v>
      </c>
      <c r="AB87" s="281"/>
      <c r="AC87" s="203">
        <f ca="1">TblConstr[[#This Row],[Facs DB]]</f>
        <v>7.4999999999999997E-2</v>
      </c>
    </row>
    <row r="88" spans="1:29" x14ac:dyDescent="0.2">
      <c r="A88" s="280">
        <f ca="1">TblConstr[[#This Row],[Land]]</f>
        <v>600</v>
      </c>
      <c r="B88" s="282">
        <f ca="1">TblConstr[[#This Row],[Plain]]</f>
        <v>0</v>
      </c>
      <c r="C88" s="236">
        <f ca="1">TblConstr[[#This Row],[Forest]]</f>
        <v>0</v>
      </c>
      <c r="D88" s="478">
        <f ca="1">TblConstr[[#This Row],[Mountain]]</f>
        <v>0</v>
      </c>
      <c r="E88" s="482">
        <f ca="1">TblConstr[[#This Row],[Hill]]</f>
        <v>0</v>
      </c>
      <c r="F88" s="486">
        <f ca="1">TblConstr[[#This Row],[Swamp]]</f>
        <v>0</v>
      </c>
      <c r="G88" s="239">
        <f ca="1">TblConstr[[#This Row],[Cavern]]</f>
        <v>0</v>
      </c>
      <c r="H88" s="240">
        <f ca="1">TblConstr[[#This Row],[Water]]</f>
        <v>0</v>
      </c>
      <c r="I88" s="281"/>
      <c r="J88" s="228">
        <f>J87+1</f>
        <v>85</v>
      </c>
      <c r="K88" s="305">
        <f ca="1">TblImps[[#This Row],[Real time]]</f>
        <v>44408.249999999796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706398</v>
      </c>
      <c r="W88" s="281"/>
      <c r="X88" s="113">
        <f ca="1">ROUNDUP( (1-MIN(ROUND(facs_rezone_factor*TblRezone[[#This Row],[Facs]],4),facs_rezone_max) + tech_6_4*TblTech[[#This Row],[6-4]] + tech_10_2*TblTech[[#This Row],[10-2]] - IF(TblMagic[[#This Row],[Active Mechanical Genius]]&gt;0,mech_genius_bonus,0) + race_rezone_cost) * TblRezone[[#This Row],[Plat/acre*]],0)</f>
        <v>322</v>
      </c>
      <c r="Y88" s="113">
        <f ca="1">TblRezone[[#This Row],[Total acres]]*TblRezone[[#This Row],[Plat/acre]]</f>
        <v>0</v>
      </c>
      <c r="Z88" s="281"/>
      <c r="AA88" s="113">
        <f ca="1">250+0.6*(TblRezone[[#This Row],[Land]]-250)</f>
        <v>460</v>
      </c>
      <c r="AB88" s="281"/>
      <c r="AC88" s="203">
        <f ca="1">TblConstr[[#This Row],[Facs DB]]</f>
        <v>7.4999999999999997E-2</v>
      </c>
    </row>
    <row r="89" spans="1:29" x14ac:dyDescent="0.2">
      <c r="A89" s="280">
        <f ca="1">TblConstr[[#This Row],[Land]]</f>
        <v>600</v>
      </c>
      <c r="B89" s="282">
        <f ca="1">TblConstr[[#This Row],[Plain]]</f>
        <v>0</v>
      </c>
      <c r="C89" s="236">
        <f ca="1">TblConstr[[#This Row],[Forest]]</f>
        <v>0</v>
      </c>
      <c r="D89" s="478">
        <f ca="1">TblConstr[[#This Row],[Mountain]]</f>
        <v>0</v>
      </c>
      <c r="E89" s="482">
        <f ca="1">TblConstr[[#This Row],[Hill]]</f>
        <v>0</v>
      </c>
      <c r="F89" s="486">
        <f ca="1">TblConstr[[#This Row],[Swamp]]</f>
        <v>0</v>
      </c>
      <c r="G89" s="239">
        <f ca="1">TblConstr[[#This Row],[Cavern]]</f>
        <v>0</v>
      </c>
      <c r="H89" s="240">
        <f ca="1">TblConstr[[#This Row],[Water]]</f>
        <v>0</v>
      </c>
      <c r="I89" s="281"/>
      <c r="J89" s="228">
        <f t="shared" ref="J89:J136" si="3">J88+1</f>
        <v>86</v>
      </c>
      <c r="K89" s="305">
        <f ca="1">TblImps[[#This Row],[Real time]]</f>
        <v>44408.291666666461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735946</v>
      </c>
      <c r="W89" s="281"/>
      <c r="X89" s="113">
        <f ca="1">ROUNDUP( (1-MIN(ROUND(facs_rezone_factor*TblRezone[[#This Row],[Facs]],4),facs_rezone_max) + tech_6_4*TblTech[[#This Row],[6-4]] + tech_10_2*TblTech[[#This Row],[10-2]] - IF(TblMagic[[#This Row],[Active Mechanical Genius]]&gt;0,mech_genius_bonus,0) + race_rezone_cost) * TblRezone[[#This Row],[Plat/acre*]],0)</f>
        <v>322</v>
      </c>
      <c r="Y89" s="113">
        <f ca="1">TblRezone[[#This Row],[Total acres]]*TblRezone[[#This Row],[Plat/acre]]</f>
        <v>0</v>
      </c>
      <c r="Z89" s="281"/>
      <c r="AA89" s="113">
        <f ca="1">250+0.6*(TblRezone[[#This Row],[Land]]-250)</f>
        <v>460</v>
      </c>
      <c r="AB89" s="281"/>
      <c r="AC89" s="203">
        <f ca="1">TblConstr[[#This Row],[Facs DB]]</f>
        <v>7.4999999999999997E-2</v>
      </c>
    </row>
    <row r="90" spans="1:29" x14ac:dyDescent="0.2">
      <c r="A90" s="280">
        <f ca="1">TblConstr[[#This Row],[Land]]</f>
        <v>600</v>
      </c>
      <c r="B90" s="282">
        <f ca="1">TblConstr[[#This Row],[Plain]]</f>
        <v>0</v>
      </c>
      <c r="C90" s="236">
        <f ca="1">TblConstr[[#This Row],[Forest]]</f>
        <v>0</v>
      </c>
      <c r="D90" s="478">
        <f ca="1">TblConstr[[#This Row],[Mountain]]</f>
        <v>0</v>
      </c>
      <c r="E90" s="482">
        <f ca="1">TblConstr[[#This Row],[Hill]]</f>
        <v>0</v>
      </c>
      <c r="F90" s="486">
        <f ca="1">TblConstr[[#This Row],[Swamp]]</f>
        <v>0</v>
      </c>
      <c r="G90" s="239">
        <f ca="1">TblConstr[[#This Row],[Cavern]]</f>
        <v>0</v>
      </c>
      <c r="H90" s="240">
        <f ca="1">TblConstr[[#This Row],[Water]]</f>
        <v>0</v>
      </c>
      <c r="I90" s="281"/>
      <c r="J90" s="228">
        <f t="shared" si="3"/>
        <v>87</v>
      </c>
      <c r="K90" s="305">
        <f ca="1">TblImps[[#This Row],[Real time]]</f>
        <v>44408.333333333125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765319</v>
      </c>
      <c r="W90" s="281"/>
      <c r="X90" s="113">
        <f ca="1">ROUNDUP( (1-MIN(ROUND(facs_rezone_factor*TblRezone[[#This Row],[Facs]],4),facs_rezone_max) + tech_6_4*TblTech[[#This Row],[6-4]] + tech_10_2*TblTech[[#This Row],[10-2]] - IF(TblMagic[[#This Row],[Active Mechanical Genius]]&gt;0,mech_genius_bonus,0) + race_rezone_cost) * TblRezone[[#This Row],[Plat/acre*]],0)</f>
        <v>322</v>
      </c>
      <c r="Y90" s="113">
        <f ca="1">TblRezone[[#This Row],[Total acres]]*TblRezone[[#This Row],[Plat/acre]]</f>
        <v>0</v>
      </c>
      <c r="Z90" s="281"/>
      <c r="AA90" s="113">
        <f ca="1">250+0.6*(TblRezone[[#This Row],[Land]]-250)</f>
        <v>460</v>
      </c>
      <c r="AB90" s="281"/>
      <c r="AC90" s="203">
        <f ca="1">TblConstr[[#This Row],[Facs DB]]</f>
        <v>7.4999999999999997E-2</v>
      </c>
    </row>
    <row r="91" spans="1:29" x14ac:dyDescent="0.2">
      <c r="A91" s="280">
        <f ca="1">TblConstr[[#This Row],[Land]]</f>
        <v>600</v>
      </c>
      <c r="B91" s="282">
        <f ca="1">TblConstr[[#This Row],[Plain]]</f>
        <v>0</v>
      </c>
      <c r="C91" s="236">
        <f ca="1">TblConstr[[#This Row],[Forest]]</f>
        <v>0</v>
      </c>
      <c r="D91" s="478">
        <f ca="1">TblConstr[[#This Row],[Mountain]]</f>
        <v>0</v>
      </c>
      <c r="E91" s="482">
        <f ca="1">TblConstr[[#This Row],[Hill]]</f>
        <v>0</v>
      </c>
      <c r="F91" s="486">
        <f ca="1">TblConstr[[#This Row],[Swamp]]</f>
        <v>0</v>
      </c>
      <c r="G91" s="239">
        <f ca="1">TblConstr[[#This Row],[Cavern]]</f>
        <v>0</v>
      </c>
      <c r="H91" s="240">
        <f ca="1">TblConstr[[#This Row],[Water]]</f>
        <v>0</v>
      </c>
      <c r="I91" s="281"/>
      <c r="J91" s="228">
        <f t="shared" si="3"/>
        <v>88</v>
      </c>
      <c r="K91" s="305">
        <f ca="1">TblImps[[#This Row],[Real time]]</f>
        <v>44408.374999999789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794516</v>
      </c>
      <c r="W91" s="281"/>
      <c r="X91" s="113">
        <f ca="1">ROUNDUP( (1-MIN(ROUND(facs_rezone_factor*TblRezone[[#This Row],[Facs]],4),facs_rezone_max) + tech_6_4*TblTech[[#This Row],[6-4]] + tech_10_2*TblTech[[#This Row],[10-2]] - IF(TblMagic[[#This Row],[Active Mechanical Genius]]&gt;0,mech_genius_bonus,0) + race_rezone_cost) * TblRezone[[#This Row],[Plat/acre*]],0)</f>
        <v>322</v>
      </c>
      <c r="Y91" s="113">
        <f ca="1">TblRezone[[#This Row],[Total acres]]*TblRezone[[#This Row],[Plat/acre]]</f>
        <v>0</v>
      </c>
      <c r="Z91" s="281"/>
      <c r="AA91" s="113">
        <f ca="1">250+0.6*(TblRezone[[#This Row],[Land]]-250)</f>
        <v>460</v>
      </c>
      <c r="AB91" s="281"/>
      <c r="AC91" s="203">
        <f ca="1">TblConstr[[#This Row],[Facs DB]]</f>
        <v>7.4999999999999997E-2</v>
      </c>
    </row>
    <row r="92" spans="1:29" x14ac:dyDescent="0.2">
      <c r="A92" s="280">
        <f ca="1">TblConstr[[#This Row],[Land]]</f>
        <v>600</v>
      </c>
      <c r="B92" s="282">
        <f ca="1">TblConstr[[#This Row],[Plain]]</f>
        <v>0</v>
      </c>
      <c r="C92" s="236">
        <f ca="1">TblConstr[[#This Row],[Forest]]</f>
        <v>0</v>
      </c>
      <c r="D92" s="478">
        <f ca="1">TblConstr[[#This Row],[Mountain]]</f>
        <v>0</v>
      </c>
      <c r="E92" s="482">
        <f ca="1">TblConstr[[#This Row],[Hill]]</f>
        <v>0</v>
      </c>
      <c r="F92" s="486">
        <f ca="1">TblConstr[[#This Row],[Swamp]]</f>
        <v>0</v>
      </c>
      <c r="G92" s="239">
        <f ca="1">TblConstr[[#This Row],[Cavern]]</f>
        <v>0</v>
      </c>
      <c r="H92" s="240">
        <f ca="1">TblConstr[[#This Row],[Water]]</f>
        <v>0</v>
      </c>
      <c r="I92" s="281"/>
      <c r="J92" s="228">
        <f t="shared" si="3"/>
        <v>89</v>
      </c>
      <c r="K92" s="305">
        <f ca="1">TblImps[[#This Row],[Real time]]</f>
        <v>44408.416666666453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823541</v>
      </c>
      <c r="W92" s="281"/>
      <c r="X92" s="113">
        <f ca="1">ROUNDUP( (1-MIN(ROUND(facs_rezone_factor*TblRezone[[#This Row],[Facs]],4),facs_rezone_max) + tech_6_4*TblTech[[#This Row],[6-4]] + tech_10_2*TblTech[[#This Row],[10-2]] - IF(TblMagic[[#This Row],[Active Mechanical Genius]]&gt;0,mech_genius_bonus,0) + race_rezone_cost) * TblRezone[[#This Row],[Plat/acre*]],0)</f>
        <v>322</v>
      </c>
      <c r="Y92" s="113">
        <f ca="1">TblRezone[[#This Row],[Total acres]]*TblRezone[[#This Row],[Plat/acre]]</f>
        <v>0</v>
      </c>
      <c r="Z92" s="281"/>
      <c r="AA92" s="113">
        <f ca="1">250+0.6*(TblRezone[[#This Row],[Land]]-250)</f>
        <v>460</v>
      </c>
      <c r="AB92" s="281"/>
      <c r="AC92" s="203">
        <f ca="1">TblConstr[[#This Row],[Facs DB]]</f>
        <v>7.4999999999999997E-2</v>
      </c>
    </row>
    <row r="93" spans="1:29" x14ac:dyDescent="0.2">
      <c r="A93" s="280">
        <f ca="1">TblConstr[[#This Row],[Land]]</f>
        <v>600</v>
      </c>
      <c r="B93" s="282">
        <f ca="1">TblConstr[[#This Row],[Plain]]</f>
        <v>0</v>
      </c>
      <c r="C93" s="236">
        <f ca="1">TblConstr[[#This Row],[Forest]]</f>
        <v>0</v>
      </c>
      <c r="D93" s="478">
        <f ca="1">TblConstr[[#This Row],[Mountain]]</f>
        <v>0</v>
      </c>
      <c r="E93" s="482">
        <f ca="1">TblConstr[[#This Row],[Hill]]</f>
        <v>0</v>
      </c>
      <c r="F93" s="486">
        <f ca="1">TblConstr[[#This Row],[Swamp]]</f>
        <v>0</v>
      </c>
      <c r="G93" s="239">
        <f ca="1">TblConstr[[#This Row],[Cavern]]</f>
        <v>0</v>
      </c>
      <c r="H93" s="240">
        <f ca="1">TblConstr[[#This Row],[Water]]</f>
        <v>0</v>
      </c>
      <c r="I93" s="281"/>
      <c r="J93" s="228">
        <f t="shared" si="3"/>
        <v>90</v>
      </c>
      <c r="K93" s="305">
        <f ca="1">TblImps[[#This Row],[Real time]]</f>
        <v>44408.458333333117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852393</v>
      </c>
      <c r="W93" s="281"/>
      <c r="X93" s="113">
        <f ca="1">ROUNDUP( (1-MIN(ROUND(facs_rezone_factor*TblRezone[[#This Row],[Facs]],4),facs_rezone_max) + tech_6_4*TblTech[[#This Row],[6-4]] + tech_10_2*TblTech[[#This Row],[10-2]] - IF(TblMagic[[#This Row],[Active Mechanical Genius]]&gt;0,mech_genius_bonus,0) + race_rezone_cost) * TblRezone[[#This Row],[Plat/acre*]],0)</f>
        <v>322</v>
      </c>
      <c r="Y93" s="113">
        <f ca="1">TblRezone[[#This Row],[Total acres]]*TblRezone[[#This Row],[Plat/acre]]</f>
        <v>0</v>
      </c>
      <c r="Z93" s="281"/>
      <c r="AA93" s="113">
        <f ca="1">250+0.6*(TblRezone[[#This Row],[Land]]-250)</f>
        <v>460</v>
      </c>
      <c r="AB93" s="281"/>
      <c r="AC93" s="203">
        <f ca="1">TblConstr[[#This Row],[Facs DB]]</f>
        <v>7.4999999999999997E-2</v>
      </c>
    </row>
    <row r="94" spans="1:29" x14ac:dyDescent="0.2">
      <c r="A94" s="280">
        <f ca="1">TblConstr[[#This Row],[Land]]</f>
        <v>600</v>
      </c>
      <c r="B94" s="282">
        <f ca="1">TblConstr[[#This Row],[Plain]]</f>
        <v>0</v>
      </c>
      <c r="C94" s="236">
        <f ca="1">TblConstr[[#This Row],[Forest]]</f>
        <v>0</v>
      </c>
      <c r="D94" s="478">
        <f ca="1">TblConstr[[#This Row],[Mountain]]</f>
        <v>0</v>
      </c>
      <c r="E94" s="482">
        <f ca="1">TblConstr[[#This Row],[Hill]]</f>
        <v>0</v>
      </c>
      <c r="F94" s="486">
        <f ca="1">TblConstr[[#This Row],[Swamp]]</f>
        <v>0</v>
      </c>
      <c r="G94" s="239">
        <f ca="1">TblConstr[[#This Row],[Cavern]]</f>
        <v>0</v>
      </c>
      <c r="H94" s="240">
        <f ca="1">TblConstr[[#This Row],[Water]]</f>
        <v>0</v>
      </c>
      <c r="I94" s="281"/>
      <c r="J94" s="228">
        <f t="shared" si="3"/>
        <v>91</v>
      </c>
      <c r="K94" s="305">
        <f ca="1">TblImps[[#This Row],[Real time]]</f>
        <v>44408.499999999782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881075</v>
      </c>
      <c r="W94" s="281"/>
      <c r="X94" s="113">
        <f ca="1">ROUNDUP( (1-MIN(ROUND(facs_rezone_factor*TblRezone[[#This Row],[Facs]],4),facs_rezone_max) + tech_6_4*TblTech[[#This Row],[6-4]] + tech_10_2*TblTech[[#This Row],[10-2]] - IF(TblMagic[[#This Row],[Active Mechanical Genius]]&gt;0,mech_genius_bonus,0) + race_rezone_cost) * TblRezone[[#This Row],[Plat/acre*]],0)</f>
        <v>322</v>
      </c>
      <c r="Y94" s="113">
        <f ca="1">TblRezone[[#This Row],[Total acres]]*TblRezone[[#This Row],[Plat/acre]]</f>
        <v>0</v>
      </c>
      <c r="Z94" s="281"/>
      <c r="AA94" s="113">
        <f ca="1">250+0.6*(TblRezone[[#This Row],[Land]]-250)</f>
        <v>460</v>
      </c>
      <c r="AB94" s="281"/>
      <c r="AC94" s="203">
        <f ca="1">TblConstr[[#This Row],[Facs DB]]</f>
        <v>7.4999999999999997E-2</v>
      </c>
    </row>
    <row r="95" spans="1:29" x14ac:dyDescent="0.2">
      <c r="A95" s="280">
        <f ca="1">TblConstr[[#This Row],[Land]]</f>
        <v>600</v>
      </c>
      <c r="B95" s="282">
        <f ca="1">TblConstr[[#This Row],[Plain]]</f>
        <v>0</v>
      </c>
      <c r="C95" s="236">
        <f ca="1">TblConstr[[#This Row],[Forest]]</f>
        <v>0</v>
      </c>
      <c r="D95" s="478">
        <f ca="1">TblConstr[[#This Row],[Mountain]]</f>
        <v>0</v>
      </c>
      <c r="E95" s="482">
        <f ca="1">TblConstr[[#This Row],[Hill]]</f>
        <v>0</v>
      </c>
      <c r="F95" s="486">
        <f ca="1">TblConstr[[#This Row],[Swamp]]</f>
        <v>0</v>
      </c>
      <c r="G95" s="239">
        <f ca="1">TblConstr[[#This Row],[Cavern]]</f>
        <v>0</v>
      </c>
      <c r="H95" s="240">
        <f ca="1">TblConstr[[#This Row],[Water]]</f>
        <v>0</v>
      </c>
      <c r="I95" s="281"/>
      <c r="J95" s="228">
        <f t="shared" si="3"/>
        <v>92</v>
      </c>
      <c r="K95" s="305">
        <f ca="1">TblImps[[#This Row],[Real time]]</f>
        <v>44408.541666666446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909589</v>
      </c>
      <c r="W95" s="281"/>
      <c r="X95" s="113">
        <f ca="1">ROUNDUP( (1-MIN(ROUND(facs_rezone_factor*TblRezone[[#This Row],[Facs]],4),facs_rezone_max) + tech_6_4*TblTech[[#This Row],[6-4]] + tech_10_2*TblTech[[#This Row],[10-2]] - IF(TblMagic[[#This Row],[Active Mechanical Genius]]&gt;0,mech_genius_bonus,0) + race_rezone_cost) * TblRezone[[#This Row],[Plat/acre*]],0)</f>
        <v>322</v>
      </c>
      <c r="Y95" s="113">
        <f ca="1">TblRezone[[#This Row],[Total acres]]*TblRezone[[#This Row],[Plat/acre]]</f>
        <v>0</v>
      </c>
      <c r="Z95" s="281"/>
      <c r="AA95" s="113">
        <f ca="1">250+0.6*(TblRezone[[#This Row],[Land]]-250)</f>
        <v>460</v>
      </c>
      <c r="AB95" s="281"/>
      <c r="AC95" s="203">
        <f ca="1">TblConstr[[#This Row],[Facs DB]]</f>
        <v>7.4999999999999997E-2</v>
      </c>
    </row>
    <row r="96" spans="1:29" x14ac:dyDescent="0.2">
      <c r="A96" s="280">
        <f ca="1">TblConstr[[#This Row],[Land]]</f>
        <v>600</v>
      </c>
      <c r="B96" s="282">
        <f ca="1">TblConstr[[#This Row],[Plain]]</f>
        <v>0</v>
      </c>
      <c r="C96" s="236">
        <f ca="1">TblConstr[[#This Row],[Forest]]</f>
        <v>0</v>
      </c>
      <c r="D96" s="478">
        <f ca="1">TblConstr[[#This Row],[Mountain]]</f>
        <v>0</v>
      </c>
      <c r="E96" s="482">
        <f ca="1">TblConstr[[#This Row],[Hill]]</f>
        <v>0</v>
      </c>
      <c r="F96" s="486">
        <f ca="1">TblConstr[[#This Row],[Swamp]]</f>
        <v>0</v>
      </c>
      <c r="G96" s="239">
        <f ca="1">TblConstr[[#This Row],[Cavern]]</f>
        <v>0</v>
      </c>
      <c r="H96" s="240">
        <f ca="1">TblConstr[[#This Row],[Water]]</f>
        <v>0</v>
      </c>
      <c r="I96" s="281"/>
      <c r="J96" s="228">
        <f t="shared" si="3"/>
        <v>93</v>
      </c>
      <c r="K96" s="305">
        <f ca="1">TblImps[[#This Row],[Real time]]</f>
        <v>44408.58333333311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937936</v>
      </c>
      <c r="W96" s="281"/>
      <c r="X96" s="113">
        <f ca="1">ROUNDUP( (1-MIN(ROUND(facs_rezone_factor*TblRezone[[#This Row],[Facs]],4),facs_rezone_max) + tech_6_4*TblTech[[#This Row],[6-4]] + tech_10_2*TblTech[[#This Row],[10-2]] - IF(TblMagic[[#This Row],[Active Mechanical Genius]]&gt;0,mech_genius_bonus,0) + race_rezone_cost) * TblRezone[[#This Row],[Plat/acre*]],0)</f>
        <v>322</v>
      </c>
      <c r="Y96" s="113">
        <f ca="1">TblRezone[[#This Row],[Total acres]]*TblRezone[[#This Row],[Plat/acre]]</f>
        <v>0</v>
      </c>
      <c r="Z96" s="281"/>
      <c r="AA96" s="113">
        <f ca="1">250+0.6*(TblRezone[[#This Row],[Land]]-250)</f>
        <v>460</v>
      </c>
      <c r="AB96" s="281"/>
      <c r="AC96" s="203">
        <f ca="1">TblConstr[[#This Row],[Facs DB]]</f>
        <v>7.4999999999999997E-2</v>
      </c>
    </row>
    <row r="97" spans="1:29" x14ac:dyDescent="0.2">
      <c r="A97" s="280">
        <f ca="1">TblConstr[[#This Row],[Land]]</f>
        <v>600</v>
      </c>
      <c r="B97" s="282">
        <f ca="1">TblConstr[[#This Row],[Plain]]</f>
        <v>0</v>
      </c>
      <c r="C97" s="236">
        <f ca="1">TblConstr[[#This Row],[Forest]]</f>
        <v>0</v>
      </c>
      <c r="D97" s="478">
        <f ca="1">TblConstr[[#This Row],[Mountain]]</f>
        <v>0</v>
      </c>
      <c r="E97" s="482">
        <f ca="1">TblConstr[[#This Row],[Hill]]</f>
        <v>0</v>
      </c>
      <c r="F97" s="486">
        <f ca="1">TblConstr[[#This Row],[Swamp]]</f>
        <v>0</v>
      </c>
      <c r="G97" s="239">
        <f ca="1">TblConstr[[#This Row],[Cavern]]</f>
        <v>0</v>
      </c>
      <c r="H97" s="240">
        <f ca="1">TblConstr[[#This Row],[Water]]</f>
        <v>0</v>
      </c>
      <c r="I97" s="281"/>
      <c r="J97" s="228">
        <f t="shared" si="3"/>
        <v>94</v>
      </c>
      <c r="K97" s="305">
        <f ca="1">TblImps[[#This Row],[Real time]]</f>
        <v>44408.624999999774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966118</v>
      </c>
      <c r="W97" s="281"/>
      <c r="X97" s="113">
        <f ca="1">ROUNDUP( (1-MIN(ROUND(facs_rezone_factor*TblRezone[[#This Row],[Facs]],4),facs_rezone_max) + tech_6_4*TblTech[[#This Row],[6-4]] + tech_10_2*TblTech[[#This Row],[10-2]] - IF(TblMagic[[#This Row],[Active Mechanical Genius]]&gt;0,mech_genius_bonus,0) + race_rezone_cost) * TblRezone[[#This Row],[Plat/acre*]],0)</f>
        <v>322</v>
      </c>
      <c r="Y97" s="113">
        <f ca="1">TblRezone[[#This Row],[Total acres]]*TblRezone[[#This Row],[Plat/acre]]</f>
        <v>0</v>
      </c>
      <c r="Z97" s="281"/>
      <c r="AA97" s="113">
        <f ca="1">250+0.6*(TblRezone[[#This Row],[Land]]-250)</f>
        <v>460</v>
      </c>
      <c r="AB97" s="281"/>
      <c r="AC97" s="203">
        <f ca="1">TblConstr[[#This Row],[Facs DB]]</f>
        <v>7.4999999999999997E-2</v>
      </c>
    </row>
    <row r="98" spans="1:29" x14ac:dyDescent="0.2">
      <c r="A98" s="280">
        <f ca="1">TblConstr[[#This Row],[Land]]</f>
        <v>600</v>
      </c>
      <c r="B98" s="282">
        <f ca="1">TblConstr[[#This Row],[Plain]]</f>
        <v>0</v>
      </c>
      <c r="C98" s="236">
        <f ca="1">TblConstr[[#This Row],[Forest]]</f>
        <v>0</v>
      </c>
      <c r="D98" s="478">
        <f ca="1">TblConstr[[#This Row],[Mountain]]</f>
        <v>0</v>
      </c>
      <c r="E98" s="482">
        <f ca="1">TblConstr[[#This Row],[Hill]]</f>
        <v>0</v>
      </c>
      <c r="F98" s="486">
        <f ca="1">TblConstr[[#This Row],[Swamp]]</f>
        <v>0</v>
      </c>
      <c r="G98" s="239">
        <f ca="1">TblConstr[[#This Row],[Cavern]]</f>
        <v>0</v>
      </c>
      <c r="H98" s="240">
        <f ca="1">TblConstr[[#This Row],[Water]]</f>
        <v>0</v>
      </c>
      <c r="I98" s="281"/>
      <c r="J98" s="228">
        <f t="shared" si="3"/>
        <v>95</v>
      </c>
      <c r="K98" s="305">
        <f ca="1">TblImps[[#This Row],[Real time]]</f>
        <v>44408.666666666439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994138</v>
      </c>
      <c r="W98" s="281"/>
      <c r="X98" s="113">
        <f ca="1">ROUNDUP( (1-MIN(ROUND(facs_rezone_factor*TblRezone[[#This Row],[Facs]],4),facs_rezone_max) + tech_6_4*TblTech[[#This Row],[6-4]] + tech_10_2*TblTech[[#This Row],[10-2]] - IF(TblMagic[[#This Row],[Active Mechanical Genius]]&gt;0,mech_genius_bonus,0) + race_rezone_cost) * TblRezone[[#This Row],[Plat/acre*]],0)</f>
        <v>322</v>
      </c>
      <c r="Y98" s="113">
        <f ca="1">TblRezone[[#This Row],[Total acres]]*TblRezone[[#This Row],[Plat/acre]]</f>
        <v>0</v>
      </c>
      <c r="Z98" s="281"/>
      <c r="AA98" s="113">
        <f ca="1">250+0.6*(TblRezone[[#This Row],[Land]]-250)</f>
        <v>460</v>
      </c>
      <c r="AB98" s="281"/>
      <c r="AC98" s="203">
        <f ca="1">TblConstr[[#This Row],[Facs DB]]</f>
        <v>7.4999999999999997E-2</v>
      </c>
    </row>
    <row r="99" spans="1:29" x14ac:dyDescent="0.2">
      <c r="A99" s="280">
        <f ca="1">TblConstr[[#This Row],[Land]]</f>
        <v>600</v>
      </c>
      <c r="B99" s="282">
        <f ca="1">TblConstr[[#This Row],[Plain]]</f>
        <v>0</v>
      </c>
      <c r="C99" s="236">
        <f ca="1">TblConstr[[#This Row],[Forest]]</f>
        <v>0</v>
      </c>
      <c r="D99" s="478">
        <f ca="1">TblConstr[[#This Row],[Mountain]]</f>
        <v>0</v>
      </c>
      <c r="E99" s="482">
        <f ca="1">TblConstr[[#This Row],[Hill]]</f>
        <v>0</v>
      </c>
      <c r="F99" s="486">
        <f ca="1">TblConstr[[#This Row],[Swamp]]</f>
        <v>0</v>
      </c>
      <c r="G99" s="239">
        <f ca="1">TblConstr[[#This Row],[Cavern]]</f>
        <v>0</v>
      </c>
      <c r="H99" s="240">
        <f ca="1">TblConstr[[#This Row],[Water]]</f>
        <v>0</v>
      </c>
      <c r="I99" s="281"/>
      <c r="J99" s="228">
        <f t="shared" si="3"/>
        <v>96</v>
      </c>
      <c r="K99" s="305">
        <f ca="1">TblImps[[#This Row],[Real time]]</f>
        <v>44408.708333333103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1021996</v>
      </c>
      <c r="W99" s="281"/>
      <c r="X99" s="113">
        <f ca="1">ROUNDUP( (1-MIN(ROUND(facs_rezone_factor*TblRezone[[#This Row],[Facs]],4),facs_rezone_max) + tech_6_4*TblTech[[#This Row],[6-4]] + tech_10_2*TblTech[[#This Row],[10-2]] - IF(TblMagic[[#This Row],[Active Mechanical Genius]]&gt;0,mech_genius_bonus,0) + race_rezone_cost) * TblRezone[[#This Row],[Plat/acre*]],0)</f>
        <v>322</v>
      </c>
      <c r="Y99" s="113">
        <f ca="1">TblRezone[[#This Row],[Total acres]]*TblRezone[[#This Row],[Plat/acre]]</f>
        <v>0</v>
      </c>
      <c r="Z99" s="281"/>
      <c r="AA99" s="113">
        <f ca="1">250+0.6*(TblRezone[[#This Row],[Land]]-250)</f>
        <v>460</v>
      </c>
      <c r="AB99" s="281"/>
      <c r="AC99" s="203">
        <f ca="1">TblConstr[[#This Row],[Facs DB]]</f>
        <v>7.4999999999999997E-2</v>
      </c>
    </row>
    <row r="100" spans="1:29" x14ac:dyDescent="0.2">
      <c r="A100" s="280">
        <f ca="1">TblConstr[[#This Row],[Land]]</f>
        <v>600</v>
      </c>
      <c r="B100" s="282">
        <f ca="1">TblConstr[[#This Row],[Plain]]</f>
        <v>0</v>
      </c>
      <c r="C100" s="236">
        <f ca="1">TblConstr[[#This Row],[Forest]]</f>
        <v>0</v>
      </c>
      <c r="D100" s="478">
        <f ca="1">TblConstr[[#This Row],[Mountain]]</f>
        <v>0</v>
      </c>
      <c r="E100" s="482">
        <f ca="1">TblConstr[[#This Row],[Hill]]</f>
        <v>0</v>
      </c>
      <c r="F100" s="486">
        <f ca="1">TblConstr[[#This Row],[Swamp]]</f>
        <v>0</v>
      </c>
      <c r="G100" s="239">
        <f ca="1">TblConstr[[#This Row],[Cavern]]</f>
        <v>0</v>
      </c>
      <c r="H100" s="240">
        <f ca="1">TblConstr[[#This Row],[Water]]</f>
        <v>0</v>
      </c>
      <c r="I100" s="281"/>
      <c r="J100" s="228">
        <f t="shared" si="3"/>
        <v>97</v>
      </c>
      <c r="K100" s="305">
        <f ca="1">TblImps[[#This Row],[Real time]]</f>
        <v>44408.749999999767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1049695</v>
      </c>
      <c r="W100" s="281"/>
      <c r="X100" s="113">
        <f ca="1">ROUNDUP( (1-MIN(ROUND(facs_rezone_factor*TblRezone[[#This Row],[Facs]],4),facs_rezone_max) + tech_6_4*TblTech[[#This Row],[6-4]] + tech_10_2*TblTech[[#This Row],[10-2]] - IF(TblMagic[[#This Row],[Active Mechanical Genius]]&gt;0,mech_genius_bonus,0) + race_rezone_cost) * TblRezone[[#This Row],[Plat/acre*]],0)</f>
        <v>322</v>
      </c>
      <c r="Y100" s="113">
        <f ca="1">TblRezone[[#This Row],[Total acres]]*TblRezone[[#This Row],[Plat/acre]]</f>
        <v>0</v>
      </c>
      <c r="Z100" s="281"/>
      <c r="AA100" s="113">
        <f ca="1">250+0.6*(TblRezone[[#This Row],[Land]]-250)</f>
        <v>460</v>
      </c>
      <c r="AB100" s="281"/>
      <c r="AC100" s="203">
        <f ca="1">TblConstr[[#This Row],[Facs DB]]</f>
        <v>7.4999999999999997E-2</v>
      </c>
    </row>
    <row r="101" spans="1:29" x14ac:dyDescent="0.2">
      <c r="A101" s="280">
        <f ca="1">TblConstr[[#This Row],[Land]]</f>
        <v>600</v>
      </c>
      <c r="B101" s="282">
        <f ca="1">TblConstr[[#This Row],[Plain]]</f>
        <v>0</v>
      </c>
      <c r="C101" s="236">
        <f ca="1">TblConstr[[#This Row],[Forest]]</f>
        <v>0</v>
      </c>
      <c r="D101" s="478">
        <f ca="1">TblConstr[[#This Row],[Mountain]]</f>
        <v>0</v>
      </c>
      <c r="E101" s="482">
        <f ca="1">TblConstr[[#This Row],[Hill]]</f>
        <v>0</v>
      </c>
      <c r="F101" s="486">
        <f ca="1">TblConstr[[#This Row],[Swamp]]</f>
        <v>0</v>
      </c>
      <c r="G101" s="239">
        <f ca="1">TblConstr[[#This Row],[Cavern]]</f>
        <v>0</v>
      </c>
      <c r="H101" s="240">
        <f ca="1">TblConstr[[#This Row],[Water]]</f>
        <v>0</v>
      </c>
      <c r="I101" s="281"/>
      <c r="J101" s="228">
        <f t="shared" si="3"/>
        <v>98</v>
      </c>
      <c r="K101" s="305">
        <f ca="1">TblImps[[#This Row],[Real time]]</f>
        <v>44408.791666666431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1077235</v>
      </c>
      <c r="W101" s="281"/>
      <c r="X101" s="113">
        <f ca="1">ROUNDUP( (1-MIN(ROUND(facs_rezone_factor*TblRezone[[#This Row],[Facs]],4),facs_rezone_max) + tech_6_4*TblTech[[#This Row],[6-4]] + tech_10_2*TblTech[[#This Row],[10-2]] - IF(TblMagic[[#This Row],[Active Mechanical Genius]]&gt;0,mech_genius_bonus,0) + race_rezone_cost) * TblRezone[[#This Row],[Plat/acre*]],0)</f>
        <v>322</v>
      </c>
      <c r="Y101" s="113">
        <f ca="1">TblRezone[[#This Row],[Total acres]]*TblRezone[[#This Row],[Plat/acre]]</f>
        <v>0</v>
      </c>
      <c r="Z101" s="281"/>
      <c r="AA101" s="113">
        <f ca="1">250+0.6*(TblRezone[[#This Row],[Land]]-250)</f>
        <v>460</v>
      </c>
      <c r="AB101" s="281"/>
      <c r="AC101" s="203">
        <f ca="1">TblConstr[[#This Row],[Facs DB]]</f>
        <v>7.4999999999999997E-2</v>
      </c>
    </row>
    <row r="102" spans="1:29" x14ac:dyDescent="0.2">
      <c r="A102" s="280">
        <f ca="1">TblConstr[[#This Row],[Land]]</f>
        <v>600</v>
      </c>
      <c r="B102" s="282">
        <f ca="1">TblConstr[[#This Row],[Plain]]</f>
        <v>0</v>
      </c>
      <c r="C102" s="236">
        <f ca="1">TblConstr[[#This Row],[Forest]]</f>
        <v>0</v>
      </c>
      <c r="D102" s="478">
        <f ca="1">TblConstr[[#This Row],[Mountain]]</f>
        <v>0</v>
      </c>
      <c r="E102" s="482">
        <f ca="1">TblConstr[[#This Row],[Hill]]</f>
        <v>0</v>
      </c>
      <c r="F102" s="486">
        <f ca="1">TblConstr[[#This Row],[Swamp]]</f>
        <v>0</v>
      </c>
      <c r="G102" s="239">
        <f ca="1">TblConstr[[#This Row],[Cavern]]</f>
        <v>0</v>
      </c>
      <c r="H102" s="240">
        <f ca="1">TblConstr[[#This Row],[Water]]</f>
        <v>0</v>
      </c>
      <c r="I102" s="281"/>
      <c r="J102" s="228">
        <f t="shared" si="3"/>
        <v>99</v>
      </c>
      <c r="K102" s="305">
        <f ca="1">TblImps[[#This Row],[Real time]]</f>
        <v>44408.833333333096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1104618</v>
      </c>
      <c r="W102" s="281"/>
      <c r="X102" s="113">
        <f ca="1">ROUNDUP( (1-MIN(ROUND(facs_rezone_factor*TblRezone[[#This Row],[Facs]],4),facs_rezone_max) + tech_6_4*TblTech[[#This Row],[6-4]] + tech_10_2*TblTech[[#This Row],[10-2]] - IF(TblMagic[[#This Row],[Active Mechanical Genius]]&gt;0,mech_genius_bonus,0) + race_rezone_cost) * TblRezone[[#This Row],[Plat/acre*]],0)</f>
        <v>322</v>
      </c>
      <c r="Y102" s="113">
        <f ca="1">TblRezone[[#This Row],[Total acres]]*TblRezone[[#This Row],[Plat/acre]]</f>
        <v>0</v>
      </c>
      <c r="Z102" s="281"/>
      <c r="AA102" s="113">
        <f ca="1">250+0.6*(TblRezone[[#This Row],[Land]]-250)</f>
        <v>460</v>
      </c>
      <c r="AB102" s="281"/>
      <c r="AC102" s="203">
        <f ca="1">TblConstr[[#This Row],[Facs DB]]</f>
        <v>7.4999999999999997E-2</v>
      </c>
    </row>
    <row r="103" spans="1:29" x14ac:dyDescent="0.2">
      <c r="A103" s="280">
        <f ca="1">TblConstr[[#This Row],[Land]]</f>
        <v>600</v>
      </c>
      <c r="B103" s="282">
        <f ca="1">TblConstr[[#This Row],[Plain]]</f>
        <v>0</v>
      </c>
      <c r="C103" s="236">
        <f ca="1">TblConstr[[#This Row],[Forest]]</f>
        <v>0</v>
      </c>
      <c r="D103" s="478">
        <f ca="1">TblConstr[[#This Row],[Mountain]]</f>
        <v>0</v>
      </c>
      <c r="E103" s="482">
        <f ca="1">TblConstr[[#This Row],[Hill]]</f>
        <v>0</v>
      </c>
      <c r="F103" s="486">
        <f ca="1">TblConstr[[#This Row],[Swamp]]</f>
        <v>0</v>
      </c>
      <c r="G103" s="239">
        <f ca="1">TblConstr[[#This Row],[Cavern]]</f>
        <v>0</v>
      </c>
      <c r="H103" s="240">
        <f ca="1">TblConstr[[#This Row],[Water]]</f>
        <v>0</v>
      </c>
      <c r="I103" s="281"/>
      <c r="J103" s="228">
        <f t="shared" si="3"/>
        <v>100</v>
      </c>
      <c r="K103" s="305">
        <f ca="1">TblImps[[#This Row],[Real time]]</f>
        <v>44408.87499999976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1131847</v>
      </c>
      <c r="W103" s="281"/>
      <c r="X103" s="113">
        <f ca="1">ROUNDUP( (1-MIN(ROUND(facs_rezone_factor*TblRezone[[#This Row],[Facs]],4),facs_rezone_max) + tech_6_4*TblTech[[#This Row],[6-4]] + tech_10_2*TblTech[[#This Row],[10-2]] - IF(TblMagic[[#This Row],[Active Mechanical Genius]]&gt;0,mech_genius_bonus,0) + race_rezone_cost) * TblRezone[[#This Row],[Plat/acre*]],0)</f>
        <v>322</v>
      </c>
      <c r="Y103" s="113">
        <f ca="1">TblRezone[[#This Row],[Total acres]]*TblRezone[[#This Row],[Plat/acre]]</f>
        <v>0</v>
      </c>
      <c r="Z103" s="281"/>
      <c r="AA103" s="113">
        <f ca="1">250+0.6*(TblRezone[[#This Row],[Land]]-250)</f>
        <v>460</v>
      </c>
      <c r="AB103" s="281"/>
      <c r="AC103" s="203">
        <f ca="1">TblConstr[[#This Row],[Facs DB]]</f>
        <v>7.4999999999999997E-2</v>
      </c>
    </row>
    <row r="104" spans="1:29" x14ac:dyDescent="0.2">
      <c r="A104" s="280">
        <f ca="1">TblConstr[[#This Row],[Land]]</f>
        <v>600</v>
      </c>
      <c r="B104" s="282">
        <f ca="1">TblConstr[[#This Row],[Plain]]</f>
        <v>0</v>
      </c>
      <c r="C104" s="236">
        <f ca="1">TblConstr[[#This Row],[Forest]]</f>
        <v>0</v>
      </c>
      <c r="D104" s="478">
        <f ca="1">TblConstr[[#This Row],[Mountain]]</f>
        <v>0</v>
      </c>
      <c r="E104" s="482">
        <f ca="1">TblConstr[[#This Row],[Hill]]</f>
        <v>0</v>
      </c>
      <c r="F104" s="486">
        <f ca="1">TblConstr[[#This Row],[Swamp]]</f>
        <v>0</v>
      </c>
      <c r="G104" s="239">
        <f ca="1">TblConstr[[#This Row],[Cavern]]</f>
        <v>0</v>
      </c>
      <c r="H104" s="240">
        <f ca="1">TblConstr[[#This Row],[Water]]</f>
        <v>0</v>
      </c>
      <c r="I104" s="281"/>
      <c r="J104" s="228">
        <f t="shared" si="3"/>
        <v>101</v>
      </c>
      <c r="K104" s="305">
        <f ca="1">TblImps[[#This Row],[Real time]]</f>
        <v>44408.916666666424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1158922</v>
      </c>
      <c r="W104" s="281"/>
      <c r="X104" s="113">
        <f ca="1">ROUNDUP( (1-MIN(ROUND(facs_rezone_factor*TblRezone[[#This Row],[Facs]],4),facs_rezone_max) + tech_6_4*TblTech[[#This Row],[6-4]] + tech_10_2*TblTech[[#This Row],[10-2]] - IF(TblMagic[[#This Row],[Active Mechanical Genius]]&gt;0,mech_genius_bonus,0) + race_rezone_cost) * TblRezone[[#This Row],[Plat/acre*]],0)</f>
        <v>322</v>
      </c>
      <c r="Y104" s="113">
        <f ca="1">TblRezone[[#This Row],[Total acres]]*TblRezone[[#This Row],[Plat/acre]]</f>
        <v>0</v>
      </c>
      <c r="Z104" s="281"/>
      <c r="AA104" s="113">
        <f ca="1">250+0.6*(TblRezone[[#This Row],[Land]]-250)</f>
        <v>460</v>
      </c>
      <c r="AB104" s="281"/>
      <c r="AC104" s="203">
        <f ca="1">TblConstr[[#This Row],[Facs DB]]</f>
        <v>7.4999999999999997E-2</v>
      </c>
    </row>
    <row r="105" spans="1:29" x14ac:dyDescent="0.2">
      <c r="A105" s="280">
        <f ca="1">TblConstr[[#This Row],[Land]]</f>
        <v>600</v>
      </c>
      <c r="B105" s="282">
        <f ca="1">TblConstr[[#This Row],[Plain]]</f>
        <v>0</v>
      </c>
      <c r="C105" s="236">
        <f ca="1">TblConstr[[#This Row],[Forest]]</f>
        <v>0</v>
      </c>
      <c r="D105" s="478">
        <f ca="1">TblConstr[[#This Row],[Mountain]]</f>
        <v>0</v>
      </c>
      <c r="E105" s="482">
        <f ca="1">TblConstr[[#This Row],[Hill]]</f>
        <v>0</v>
      </c>
      <c r="F105" s="486">
        <f ca="1">TblConstr[[#This Row],[Swamp]]</f>
        <v>0</v>
      </c>
      <c r="G105" s="239">
        <f ca="1">TblConstr[[#This Row],[Cavern]]</f>
        <v>0</v>
      </c>
      <c r="H105" s="240">
        <f ca="1">TblConstr[[#This Row],[Water]]</f>
        <v>0</v>
      </c>
      <c r="I105" s="281"/>
      <c r="J105" s="228">
        <f t="shared" si="3"/>
        <v>102</v>
      </c>
      <c r="K105" s="305">
        <f ca="1">TblImps[[#This Row],[Real time]]</f>
        <v>44408.958333333088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1185846</v>
      </c>
      <c r="W105" s="281"/>
      <c r="X105" s="113">
        <f ca="1">ROUNDUP( (1-MIN(ROUND(facs_rezone_factor*TblRezone[[#This Row],[Facs]],4),facs_rezone_max) + tech_6_4*TblTech[[#This Row],[6-4]] + tech_10_2*TblTech[[#This Row],[10-2]] - IF(TblMagic[[#This Row],[Active Mechanical Genius]]&gt;0,mech_genius_bonus,0) + race_rezone_cost) * TblRezone[[#This Row],[Plat/acre*]],0)</f>
        <v>322</v>
      </c>
      <c r="Y105" s="113">
        <f ca="1">TblRezone[[#This Row],[Total acres]]*TblRezone[[#This Row],[Plat/acre]]</f>
        <v>0</v>
      </c>
      <c r="Z105" s="281"/>
      <c r="AA105" s="113">
        <f ca="1">250+0.6*(TblRezone[[#This Row],[Land]]-250)</f>
        <v>460</v>
      </c>
      <c r="AB105" s="281"/>
      <c r="AC105" s="203">
        <f ca="1">TblConstr[[#This Row],[Facs DB]]</f>
        <v>7.4999999999999997E-2</v>
      </c>
    </row>
    <row r="106" spans="1:29" x14ac:dyDescent="0.2">
      <c r="A106" s="280">
        <f ca="1">TblConstr[[#This Row],[Land]]</f>
        <v>600</v>
      </c>
      <c r="B106" s="282">
        <f ca="1">TblConstr[[#This Row],[Plain]]</f>
        <v>0</v>
      </c>
      <c r="C106" s="236">
        <f ca="1">TblConstr[[#This Row],[Forest]]</f>
        <v>0</v>
      </c>
      <c r="D106" s="478">
        <f ca="1">TblConstr[[#This Row],[Mountain]]</f>
        <v>0</v>
      </c>
      <c r="E106" s="482">
        <f ca="1">TblConstr[[#This Row],[Hill]]</f>
        <v>0</v>
      </c>
      <c r="F106" s="486">
        <f ca="1">TblConstr[[#This Row],[Swamp]]</f>
        <v>0</v>
      </c>
      <c r="G106" s="239">
        <f ca="1">TblConstr[[#This Row],[Cavern]]</f>
        <v>0</v>
      </c>
      <c r="H106" s="240">
        <f ca="1">TblConstr[[#This Row],[Water]]</f>
        <v>0</v>
      </c>
      <c r="I106" s="281"/>
      <c r="J106" s="228">
        <f t="shared" si="3"/>
        <v>103</v>
      </c>
      <c r="K106" s="305">
        <f ca="1">TblImps[[#This Row],[Real time]]</f>
        <v>44408.999999999753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1212619</v>
      </c>
      <c r="W106" s="281"/>
      <c r="X106" s="113">
        <f ca="1">ROUNDUP( (1-MIN(ROUND(facs_rezone_factor*TblRezone[[#This Row],[Facs]],4),facs_rezone_max) + tech_6_4*TblTech[[#This Row],[6-4]] + tech_10_2*TblTech[[#This Row],[10-2]] - IF(TblMagic[[#This Row],[Active Mechanical Genius]]&gt;0,mech_genius_bonus,0) + race_rezone_cost) * TblRezone[[#This Row],[Plat/acre*]],0)</f>
        <v>322</v>
      </c>
      <c r="Y106" s="113">
        <f ca="1">TblRezone[[#This Row],[Total acres]]*TblRezone[[#This Row],[Plat/acre]]</f>
        <v>0</v>
      </c>
      <c r="Z106" s="281"/>
      <c r="AA106" s="113">
        <f ca="1">250+0.6*(TblRezone[[#This Row],[Land]]-250)</f>
        <v>460</v>
      </c>
      <c r="AB106" s="281"/>
      <c r="AC106" s="203">
        <f ca="1">TblConstr[[#This Row],[Facs DB]]</f>
        <v>7.4999999999999997E-2</v>
      </c>
    </row>
    <row r="107" spans="1:29" x14ac:dyDescent="0.2">
      <c r="A107" s="280">
        <f ca="1">TblConstr[[#This Row],[Land]]</f>
        <v>600</v>
      </c>
      <c r="B107" s="282">
        <f ca="1">TblConstr[[#This Row],[Plain]]</f>
        <v>0</v>
      </c>
      <c r="C107" s="236">
        <f ca="1">TblConstr[[#This Row],[Forest]]</f>
        <v>0</v>
      </c>
      <c r="D107" s="478">
        <f ca="1">TblConstr[[#This Row],[Mountain]]</f>
        <v>0</v>
      </c>
      <c r="E107" s="482">
        <f ca="1">TblConstr[[#This Row],[Hill]]</f>
        <v>0</v>
      </c>
      <c r="F107" s="486">
        <f ca="1">TblConstr[[#This Row],[Swamp]]</f>
        <v>0</v>
      </c>
      <c r="G107" s="239">
        <f ca="1">TblConstr[[#This Row],[Cavern]]</f>
        <v>0</v>
      </c>
      <c r="H107" s="240">
        <f ca="1">TblConstr[[#This Row],[Water]]</f>
        <v>0</v>
      </c>
      <c r="I107" s="281"/>
      <c r="J107" s="228">
        <f t="shared" si="3"/>
        <v>104</v>
      </c>
      <c r="K107" s="305">
        <f ca="1">TblImps[[#This Row],[Real time]]</f>
        <v>44409.041666666417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1239243</v>
      </c>
      <c r="W107" s="281"/>
      <c r="X107" s="113">
        <f ca="1">ROUNDUP( (1-MIN(ROUND(facs_rezone_factor*TblRezone[[#This Row],[Facs]],4),facs_rezone_max) + tech_6_4*TblTech[[#This Row],[6-4]] + tech_10_2*TblTech[[#This Row],[10-2]] - IF(TblMagic[[#This Row],[Active Mechanical Genius]]&gt;0,mech_genius_bonus,0) + race_rezone_cost) * TblRezone[[#This Row],[Plat/acre*]],0)</f>
        <v>322</v>
      </c>
      <c r="Y107" s="113">
        <f ca="1">TblRezone[[#This Row],[Total acres]]*TblRezone[[#This Row],[Plat/acre]]</f>
        <v>0</v>
      </c>
      <c r="Z107" s="281"/>
      <c r="AA107" s="113">
        <f ca="1">250+0.6*(TblRezone[[#This Row],[Land]]-250)</f>
        <v>460</v>
      </c>
      <c r="AB107" s="281"/>
      <c r="AC107" s="203">
        <f ca="1">TblConstr[[#This Row],[Facs DB]]</f>
        <v>7.4999999999999997E-2</v>
      </c>
    </row>
    <row r="108" spans="1:29" x14ac:dyDescent="0.2">
      <c r="A108" s="280">
        <f ca="1">TblConstr[[#This Row],[Land]]</f>
        <v>600</v>
      </c>
      <c r="B108" s="282">
        <f ca="1">TblConstr[[#This Row],[Plain]]</f>
        <v>0</v>
      </c>
      <c r="C108" s="236">
        <f ca="1">TblConstr[[#This Row],[Forest]]</f>
        <v>0</v>
      </c>
      <c r="D108" s="478">
        <f ca="1">TblConstr[[#This Row],[Mountain]]</f>
        <v>0</v>
      </c>
      <c r="E108" s="482">
        <f ca="1">TblConstr[[#This Row],[Hill]]</f>
        <v>0</v>
      </c>
      <c r="F108" s="486">
        <f ca="1">TblConstr[[#This Row],[Swamp]]</f>
        <v>0</v>
      </c>
      <c r="G108" s="239">
        <f ca="1">TblConstr[[#This Row],[Cavern]]</f>
        <v>0</v>
      </c>
      <c r="H108" s="240">
        <f ca="1">TblConstr[[#This Row],[Water]]</f>
        <v>0</v>
      </c>
      <c r="I108" s="281"/>
      <c r="J108" s="228">
        <f t="shared" si="3"/>
        <v>105</v>
      </c>
      <c r="K108" s="305">
        <f ca="1">TblImps[[#This Row],[Real time]]</f>
        <v>44409.083333333081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1265719</v>
      </c>
      <c r="W108" s="281"/>
      <c r="X108" s="113">
        <f ca="1">ROUNDUP( (1-MIN(ROUND(facs_rezone_factor*TblRezone[[#This Row],[Facs]],4),facs_rezone_max) + tech_6_4*TblTech[[#This Row],[6-4]] + tech_10_2*TblTech[[#This Row],[10-2]] - IF(TblMagic[[#This Row],[Active Mechanical Genius]]&gt;0,mech_genius_bonus,0) + race_rezone_cost) * TblRezone[[#This Row],[Plat/acre*]],0)</f>
        <v>322</v>
      </c>
      <c r="Y108" s="113">
        <f ca="1">TblRezone[[#This Row],[Total acres]]*TblRezone[[#This Row],[Plat/acre]]</f>
        <v>0</v>
      </c>
      <c r="Z108" s="281"/>
      <c r="AA108" s="113">
        <f ca="1">250+0.6*(TblRezone[[#This Row],[Land]]-250)</f>
        <v>460</v>
      </c>
      <c r="AB108" s="281"/>
      <c r="AC108" s="203">
        <f ca="1">TblConstr[[#This Row],[Facs DB]]</f>
        <v>7.4999999999999997E-2</v>
      </c>
    </row>
    <row r="109" spans="1:29" x14ac:dyDescent="0.2">
      <c r="A109" s="280">
        <f ca="1">TblConstr[[#This Row],[Land]]</f>
        <v>600</v>
      </c>
      <c r="B109" s="282">
        <f ca="1">TblConstr[[#This Row],[Plain]]</f>
        <v>0</v>
      </c>
      <c r="C109" s="236">
        <f ca="1">TblConstr[[#This Row],[Forest]]</f>
        <v>0</v>
      </c>
      <c r="D109" s="478">
        <f ca="1">TblConstr[[#This Row],[Mountain]]</f>
        <v>0</v>
      </c>
      <c r="E109" s="482">
        <f ca="1">TblConstr[[#This Row],[Hill]]</f>
        <v>0</v>
      </c>
      <c r="F109" s="486">
        <f ca="1">TblConstr[[#This Row],[Swamp]]</f>
        <v>0</v>
      </c>
      <c r="G109" s="239">
        <f ca="1">TblConstr[[#This Row],[Cavern]]</f>
        <v>0</v>
      </c>
      <c r="H109" s="240">
        <f ca="1">TblConstr[[#This Row],[Water]]</f>
        <v>0</v>
      </c>
      <c r="I109" s="281"/>
      <c r="J109" s="228">
        <f t="shared" si="3"/>
        <v>106</v>
      </c>
      <c r="K109" s="305">
        <f ca="1">TblImps[[#This Row],[Real time]]</f>
        <v>44409.124999999745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1292049</v>
      </c>
      <c r="W109" s="281"/>
      <c r="X109" s="113">
        <f ca="1">ROUNDUP( (1-MIN(ROUND(facs_rezone_factor*TblRezone[[#This Row],[Facs]],4),facs_rezone_max) + tech_6_4*TblTech[[#This Row],[6-4]] + tech_10_2*TblTech[[#This Row],[10-2]] - IF(TblMagic[[#This Row],[Active Mechanical Genius]]&gt;0,mech_genius_bonus,0) + race_rezone_cost) * TblRezone[[#This Row],[Plat/acre*]],0)</f>
        <v>322</v>
      </c>
      <c r="Y109" s="113">
        <f ca="1">TblRezone[[#This Row],[Total acres]]*TblRezone[[#This Row],[Plat/acre]]</f>
        <v>0</v>
      </c>
      <c r="Z109" s="281"/>
      <c r="AA109" s="113">
        <f ca="1">250+0.6*(TblRezone[[#This Row],[Land]]-250)</f>
        <v>460</v>
      </c>
      <c r="AB109" s="281"/>
      <c r="AC109" s="203">
        <f ca="1">TblConstr[[#This Row],[Facs DB]]</f>
        <v>7.4999999999999997E-2</v>
      </c>
    </row>
    <row r="110" spans="1:29" x14ac:dyDescent="0.2">
      <c r="A110" s="280">
        <f ca="1">TblConstr[[#This Row],[Land]]</f>
        <v>600</v>
      </c>
      <c r="B110" s="282">
        <f ca="1">TblConstr[[#This Row],[Plain]]</f>
        <v>0</v>
      </c>
      <c r="C110" s="236">
        <f ca="1">TblConstr[[#This Row],[Forest]]</f>
        <v>0</v>
      </c>
      <c r="D110" s="478">
        <f ca="1">TblConstr[[#This Row],[Mountain]]</f>
        <v>0</v>
      </c>
      <c r="E110" s="482">
        <f ca="1">TblConstr[[#This Row],[Hill]]</f>
        <v>0</v>
      </c>
      <c r="F110" s="486">
        <f ca="1">TblConstr[[#This Row],[Swamp]]</f>
        <v>0</v>
      </c>
      <c r="G110" s="239">
        <f ca="1">TblConstr[[#This Row],[Cavern]]</f>
        <v>0</v>
      </c>
      <c r="H110" s="240">
        <f ca="1">TblConstr[[#This Row],[Water]]</f>
        <v>0</v>
      </c>
      <c r="I110" s="281"/>
      <c r="J110" s="228">
        <f t="shared" si="3"/>
        <v>107</v>
      </c>
      <c r="K110" s="305">
        <f ca="1">TblImps[[#This Row],[Real time]]</f>
        <v>44409.16666666641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1318233</v>
      </c>
      <c r="W110" s="281"/>
      <c r="X110" s="113">
        <f ca="1">ROUNDUP( (1-MIN(ROUND(facs_rezone_factor*TblRezone[[#This Row],[Facs]],4),facs_rezone_max) + tech_6_4*TblTech[[#This Row],[6-4]] + tech_10_2*TblTech[[#This Row],[10-2]] - IF(TblMagic[[#This Row],[Active Mechanical Genius]]&gt;0,mech_genius_bonus,0) + race_rezone_cost) * TblRezone[[#This Row],[Plat/acre*]],0)</f>
        <v>322</v>
      </c>
      <c r="Y110" s="113">
        <f ca="1">TblRezone[[#This Row],[Total acres]]*TblRezone[[#This Row],[Plat/acre]]</f>
        <v>0</v>
      </c>
      <c r="Z110" s="281"/>
      <c r="AA110" s="113">
        <f ca="1">250+0.6*(TblRezone[[#This Row],[Land]]-250)</f>
        <v>460</v>
      </c>
      <c r="AB110" s="281"/>
      <c r="AC110" s="203">
        <f ca="1">TblConstr[[#This Row],[Facs DB]]</f>
        <v>7.4999999999999997E-2</v>
      </c>
    </row>
    <row r="111" spans="1:29" x14ac:dyDescent="0.2">
      <c r="A111" s="280">
        <f ca="1">TblConstr[[#This Row],[Land]]</f>
        <v>600</v>
      </c>
      <c r="B111" s="282">
        <f ca="1">TblConstr[[#This Row],[Plain]]</f>
        <v>0</v>
      </c>
      <c r="C111" s="236">
        <f ca="1">TblConstr[[#This Row],[Forest]]</f>
        <v>0</v>
      </c>
      <c r="D111" s="478">
        <f ca="1">TblConstr[[#This Row],[Mountain]]</f>
        <v>0</v>
      </c>
      <c r="E111" s="482">
        <f ca="1">TblConstr[[#This Row],[Hill]]</f>
        <v>0</v>
      </c>
      <c r="F111" s="486">
        <f ca="1">TblConstr[[#This Row],[Swamp]]</f>
        <v>0</v>
      </c>
      <c r="G111" s="239">
        <f ca="1">TblConstr[[#This Row],[Cavern]]</f>
        <v>0</v>
      </c>
      <c r="H111" s="240">
        <f ca="1">TblConstr[[#This Row],[Water]]</f>
        <v>0</v>
      </c>
      <c r="I111" s="281"/>
      <c r="J111" s="228">
        <f t="shared" si="3"/>
        <v>108</v>
      </c>
      <c r="K111" s="305">
        <f ca="1">TblImps[[#This Row],[Real time]]</f>
        <v>44409.208333333074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1344274</v>
      </c>
      <c r="W111" s="281"/>
      <c r="X111" s="113">
        <f ca="1">ROUNDUP( (1-MIN(ROUND(facs_rezone_factor*TblRezone[[#This Row],[Facs]],4),facs_rezone_max) + tech_6_4*TblTech[[#This Row],[6-4]] + tech_10_2*TblTech[[#This Row],[10-2]] - IF(TblMagic[[#This Row],[Active Mechanical Genius]]&gt;0,mech_genius_bonus,0) + race_rezone_cost) * TblRezone[[#This Row],[Plat/acre*]],0)</f>
        <v>322</v>
      </c>
      <c r="Y111" s="113">
        <f ca="1">TblRezone[[#This Row],[Total acres]]*TblRezone[[#This Row],[Plat/acre]]</f>
        <v>0</v>
      </c>
      <c r="Z111" s="281"/>
      <c r="AA111" s="113">
        <f ca="1">250+0.6*(TblRezone[[#This Row],[Land]]-250)</f>
        <v>460</v>
      </c>
      <c r="AB111" s="281"/>
      <c r="AC111" s="203">
        <f ca="1">TblConstr[[#This Row],[Facs DB]]</f>
        <v>7.4999999999999997E-2</v>
      </c>
    </row>
    <row r="112" spans="1:29" x14ac:dyDescent="0.2">
      <c r="A112" s="280">
        <f ca="1">TblConstr[[#This Row],[Land]]</f>
        <v>600</v>
      </c>
      <c r="B112" s="282">
        <f ca="1">TblConstr[[#This Row],[Plain]]</f>
        <v>0</v>
      </c>
      <c r="C112" s="236">
        <f ca="1">TblConstr[[#This Row],[Forest]]</f>
        <v>0</v>
      </c>
      <c r="D112" s="478">
        <f ca="1">TblConstr[[#This Row],[Mountain]]</f>
        <v>0</v>
      </c>
      <c r="E112" s="482">
        <f ca="1">TblConstr[[#This Row],[Hill]]</f>
        <v>0</v>
      </c>
      <c r="F112" s="486">
        <f ca="1">TblConstr[[#This Row],[Swamp]]</f>
        <v>0</v>
      </c>
      <c r="G112" s="239">
        <f ca="1">TblConstr[[#This Row],[Cavern]]</f>
        <v>0</v>
      </c>
      <c r="H112" s="240">
        <f ca="1">TblConstr[[#This Row],[Water]]</f>
        <v>0</v>
      </c>
      <c r="I112" s="281"/>
      <c r="J112" s="228">
        <f t="shared" si="3"/>
        <v>109</v>
      </c>
      <c r="K112" s="305">
        <f ca="1">TblImps[[#This Row],[Real time]]</f>
        <v>44409.249999999738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1370175</v>
      </c>
      <c r="W112" s="281"/>
      <c r="X112" s="113">
        <f ca="1">ROUNDUP( (1-MIN(ROUND(facs_rezone_factor*TblRezone[[#This Row],[Facs]],4),facs_rezone_max) + tech_6_4*TblTech[[#This Row],[6-4]] + tech_10_2*TblTech[[#This Row],[10-2]] - IF(TblMagic[[#This Row],[Active Mechanical Genius]]&gt;0,mech_genius_bonus,0) + race_rezone_cost) * TblRezone[[#This Row],[Plat/acre*]],0)</f>
        <v>322</v>
      </c>
      <c r="Y112" s="113">
        <f ca="1">TblRezone[[#This Row],[Total acres]]*TblRezone[[#This Row],[Plat/acre]]</f>
        <v>0</v>
      </c>
      <c r="Z112" s="281"/>
      <c r="AA112" s="113">
        <f ca="1">250+0.6*(TblRezone[[#This Row],[Land]]-250)</f>
        <v>460</v>
      </c>
      <c r="AB112" s="281"/>
      <c r="AC112" s="203">
        <f ca="1">TblConstr[[#This Row],[Facs DB]]</f>
        <v>7.4999999999999997E-2</v>
      </c>
    </row>
    <row r="113" spans="1:29" x14ac:dyDescent="0.2">
      <c r="A113" s="280">
        <f ca="1">TblConstr[[#This Row],[Land]]</f>
        <v>600</v>
      </c>
      <c r="B113" s="282">
        <f ca="1">TblConstr[[#This Row],[Plain]]</f>
        <v>0</v>
      </c>
      <c r="C113" s="236">
        <f ca="1">TblConstr[[#This Row],[Forest]]</f>
        <v>0</v>
      </c>
      <c r="D113" s="478">
        <f ca="1">TblConstr[[#This Row],[Mountain]]</f>
        <v>0</v>
      </c>
      <c r="E113" s="482">
        <f ca="1">TblConstr[[#This Row],[Hill]]</f>
        <v>0</v>
      </c>
      <c r="F113" s="486">
        <f ca="1">TblConstr[[#This Row],[Swamp]]</f>
        <v>0</v>
      </c>
      <c r="G113" s="239">
        <f ca="1">TblConstr[[#This Row],[Cavern]]</f>
        <v>0</v>
      </c>
      <c r="H113" s="240">
        <f ca="1">TblConstr[[#This Row],[Water]]</f>
        <v>0</v>
      </c>
      <c r="I113" s="281"/>
      <c r="J113" s="228">
        <f t="shared" si="3"/>
        <v>110</v>
      </c>
      <c r="K113" s="305">
        <f ca="1">TblImps[[#This Row],[Real time]]</f>
        <v>44409.291666666402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1395935</v>
      </c>
      <c r="W113" s="281"/>
      <c r="X113" s="113">
        <f ca="1">ROUNDUP( (1-MIN(ROUND(facs_rezone_factor*TblRezone[[#This Row],[Facs]],4),facs_rezone_max) + tech_6_4*TblTech[[#This Row],[6-4]] + tech_10_2*TblTech[[#This Row],[10-2]] - IF(TblMagic[[#This Row],[Active Mechanical Genius]]&gt;0,mech_genius_bonus,0) + race_rezone_cost) * TblRezone[[#This Row],[Plat/acre*]],0)</f>
        <v>322</v>
      </c>
      <c r="Y113" s="113">
        <f ca="1">TblRezone[[#This Row],[Total acres]]*TblRezone[[#This Row],[Plat/acre]]</f>
        <v>0</v>
      </c>
      <c r="Z113" s="281"/>
      <c r="AA113" s="113">
        <f ca="1">250+0.6*(TblRezone[[#This Row],[Land]]-250)</f>
        <v>460</v>
      </c>
      <c r="AB113" s="281"/>
      <c r="AC113" s="203">
        <f ca="1">TblConstr[[#This Row],[Facs DB]]</f>
        <v>7.4999999999999997E-2</v>
      </c>
    </row>
    <row r="114" spans="1:29" x14ac:dyDescent="0.2">
      <c r="A114" s="280">
        <f ca="1">TblConstr[[#This Row],[Land]]</f>
        <v>600</v>
      </c>
      <c r="B114" s="282">
        <f ca="1">TblConstr[[#This Row],[Plain]]</f>
        <v>0</v>
      </c>
      <c r="C114" s="236">
        <f ca="1">TblConstr[[#This Row],[Forest]]</f>
        <v>0</v>
      </c>
      <c r="D114" s="478">
        <f ca="1">TblConstr[[#This Row],[Mountain]]</f>
        <v>0</v>
      </c>
      <c r="E114" s="482">
        <f ca="1">TblConstr[[#This Row],[Hill]]</f>
        <v>0</v>
      </c>
      <c r="F114" s="486">
        <f ca="1">TblConstr[[#This Row],[Swamp]]</f>
        <v>0</v>
      </c>
      <c r="G114" s="239">
        <f ca="1">TblConstr[[#This Row],[Cavern]]</f>
        <v>0</v>
      </c>
      <c r="H114" s="240">
        <f ca="1">TblConstr[[#This Row],[Water]]</f>
        <v>0</v>
      </c>
      <c r="I114" s="281"/>
      <c r="J114" s="228">
        <f t="shared" si="3"/>
        <v>111</v>
      </c>
      <c r="K114" s="305">
        <f ca="1">TblImps[[#This Row],[Real time]]</f>
        <v>44409.333333333067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1421558</v>
      </c>
      <c r="W114" s="281"/>
      <c r="X114" s="113">
        <f ca="1">ROUNDUP( (1-MIN(ROUND(facs_rezone_factor*TblRezone[[#This Row],[Facs]],4),facs_rezone_max) + tech_6_4*TblTech[[#This Row],[6-4]] + tech_10_2*TblTech[[#This Row],[10-2]] - IF(TblMagic[[#This Row],[Active Mechanical Genius]]&gt;0,mech_genius_bonus,0) + race_rezone_cost) * TblRezone[[#This Row],[Plat/acre*]],0)</f>
        <v>322</v>
      </c>
      <c r="Y114" s="113">
        <f ca="1">TblRezone[[#This Row],[Total acres]]*TblRezone[[#This Row],[Plat/acre]]</f>
        <v>0</v>
      </c>
      <c r="Z114" s="281"/>
      <c r="AA114" s="113">
        <f ca="1">250+0.6*(TblRezone[[#This Row],[Land]]-250)</f>
        <v>460</v>
      </c>
      <c r="AB114" s="281"/>
      <c r="AC114" s="203">
        <f ca="1">TblConstr[[#This Row],[Facs DB]]</f>
        <v>7.4999999999999997E-2</v>
      </c>
    </row>
    <row r="115" spans="1:29" x14ac:dyDescent="0.2">
      <c r="A115" s="280">
        <f ca="1">TblConstr[[#This Row],[Land]]</f>
        <v>600</v>
      </c>
      <c r="B115" s="282">
        <f ca="1">TblConstr[[#This Row],[Plain]]</f>
        <v>0</v>
      </c>
      <c r="C115" s="236">
        <f ca="1">TblConstr[[#This Row],[Forest]]</f>
        <v>0</v>
      </c>
      <c r="D115" s="478">
        <f ca="1">TblConstr[[#This Row],[Mountain]]</f>
        <v>0</v>
      </c>
      <c r="E115" s="482">
        <f ca="1">TblConstr[[#This Row],[Hill]]</f>
        <v>0</v>
      </c>
      <c r="F115" s="486">
        <f ca="1">TblConstr[[#This Row],[Swamp]]</f>
        <v>0</v>
      </c>
      <c r="G115" s="239">
        <f ca="1">TblConstr[[#This Row],[Cavern]]</f>
        <v>0</v>
      </c>
      <c r="H115" s="240">
        <f ca="1">TblConstr[[#This Row],[Water]]</f>
        <v>0</v>
      </c>
      <c r="I115" s="281"/>
      <c r="J115" s="228">
        <f t="shared" si="3"/>
        <v>112</v>
      </c>
      <c r="K115" s="305">
        <f ca="1">TblImps[[#This Row],[Real time]]</f>
        <v>44409.374999999731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1447043</v>
      </c>
      <c r="W115" s="281"/>
      <c r="X115" s="113">
        <f ca="1">ROUNDUP( (1-MIN(ROUND(facs_rezone_factor*TblRezone[[#This Row],[Facs]],4),facs_rezone_max) + tech_6_4*TblTech[[#This Row],[6-4]] + tech_10_2*TblTech[[#This Row],[10-2]] - IF(TblMagic[[#This Row],[Active Mechanical Genius]]&gt;0,mech_genius_bonus,0) + race_rezone_cost) * TblRezone[[#This Row],[Plat/acre*]],0)</f>
        <v>322</v>
      </c>
      <c r="Y115" s="113">
        <f ca="1">TblRezone[[#This Row],[Total acres]]*TblRezone[[#This Row],[Plat/acre]]</f>
        <v>0</v>
      </c>
      <c r="Z115" s="281"/>
      <c r="AA115" s="113">
        <f ca="1">250+0.6*(TblRezone[[#This Row],[Land]]-250)</f>
        <v>460</v>
      </c>
      <c r="AB115" s="281"/>
      <c r="AC115" s="203">
        <f ca="1">TblConstr[[#This Row],[Facs DB]]</f>
        <v>7.4999999999999997E-2</v>
      </c>
    </row>
    <row r="116" spans="1:29" x14ac:dyDescent="0.2">
      <c r="A116" s="280">
        <f ca="1">TblConstr[[#This Row],[Land]]</f>
        <v>600</v>
      </c>
      <c r="B116" s="282">
        <f ca="1">TblConstr[[#This Row],[Plain]]</f>
        <v>0</v>
      </c>
      <c r="C116" s="236">
        <f ca="1">TblConstr[[#This Row],[Forest]]</f>
        <v>0</v>
      </c>
      <c r="D116" s="478">
        <f ca="1">TblConstr[[#This Row],[Mountain]]</f>
        <v>0</v>
      </c>
      <c r="E116" s="482">
        <f ca="1">TblConstr[[#This Row],[Hill]]</f>
        <v>0</v>
      </c>
      <c r="F116" s="486">
        <f ca="1">TblConstr[[#This Row],[Swamp]]</f>
        <v>0</v>
      </c>
      <c r="G116" s="239">
        <f ca="1">TblConstr[[#This Row],[Cavern]]</f>
        <v>0</v>
      </c>
      <c r="H116" s="240">
        <f ca="1">TblConstr[[#This Row],[Water]]</f>
        <v>0</v>
      </c>
      <c r="I116" s="281"/>
      <c r="J116" s="228">
        <f t="shared" si="3"/>
        <v>113</v>
      </c>
      <c r="K116" s="305">
        <f ca="1">TblImps[[#This Row],[Real time]]</f>
        <v>44409.416666666395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1472393</v>
      </c>
      <c r="W116" s="281"/>
      <c r="X116" s="113">
        <f ca="1">ROUNDUP( (1-MIN(ROUND(facs_rezone_factor*TblRezone[[#This Row],[Facs]],4),facs_rezone_max) + tech_6_4*TblTech[[#This Row],[6-4]] + tech_10_2*TblTech[[#This Row],[10-2]] - IF(TblMagic[[#This Row],[Active Mechanical Genius]]&gt;0,mech_genius_bonus,0) + race_rezone_cost) * TblRezone[[#This Row],[Plat/acre*]],0)</f>
        <v>322</v>
      </c>
      <c r="Y116" s="113">
        <f ca="1">TblRezone[[#This Row],[Total acres]]*TblRezone[[#This Row],[Plat/acre]]</f>
        <v>0</v>
      </c>
      <c r="Z116" s="281"/>
      <c r="AA116" s="113">
        <f ca="1">250+0.6*(TblRezone[[#This Row],[Land]]-250)</f>
        <v>460</v>
      </c>
      <c r="AB116" s="281"/>
      <c r="AC116" s="203">
        <f ca="1">TblConstr[[#This Row],[Facs DB]]</f>
        <v>7.4999999999999997E-2</v>
      </c>
    </row>
    <row r="117" spans="1:29" x14ac:dyDescent="0.2">
      <c r="A117" s="280">
        <f ca="1">TblConstr[[#This Row],[Land]]</f>
        <v>600</v>
      </c>
      <c r="B117" s="282">
        <f ca="1">TblConstr[[#This Row],[Plain]]</f>
        <v>0</v>
      </c>
      <c r="C117" s="236">
        <f ca="1">TblConstr[[#This Row],[Forest]]</f>
        <v>0</v>
      </c>
      <c r="D117" s="478">
        <f ca="1">TblConstr[[#This Row],[Mountain]]</f>
        <v>0</v>
      </c>
      <c r="E117" s="482">
        <f ca="1">TblConstr[[#This Row],[Hill]]</f>
        <v>0</v>
      </c>
      <c r="F117" s="486">
        <f ca="1">TblConstr[[#This Row],[Swamp]]</f>
        <v>0</v>
      </c>
      <c r="G117" s="239">
        <f ca="1">TblConstr[[#This Row],[Cavern]]</f>
        <v>0</v>
      </c>
      <c r="H117" s="240">
        <f ca="1">TblConstr[[#This Row],[Water]]</f>
        <v>0</v>
      </c>
      <c r="I117" s="281"/>
      <c r="J117" s="228">
        <f t="shared" si="3"/>
        <v>114</v>
      </c>
      <c r="K117" s="305">
        <f ca="1">TblImps[[#This Row],[Real time]]</f>
        <v>44409.458333333059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1497608</v>
      </c>
      <c r="W117" s="281"/>
      <c r="X117" s="113">
        <f ca="1">ROUNDUP( (1-MIN(ROUND(facs_rezone_factor*TblRezone[[#This Row],[Facs]],4),facs_rezone_max) + tech_6_4*TblTech[[#This Row],[6-4]] + tech_10_2*TblTech[[#This Row],[10-2]] - IF(TblMagic[[#This Row],[Active Mechanical Genius]]&gt;0,mech_genius_bonus,0) + race_rezone_cost) * TblRezone[[#This Row],[Plat/acre*]],0)</f>
        <v>322</v>
      </c>
      <c r="Y117" s="113">
        <f ca="1">TblRezone[[#This Row],[Total acres]]*TblRezone[[#This Row],[Plat/acre]]</f>
        <v>0</v>
      </c>
      <c r="Z117" s="281"/>
      <c r="AA117" s="113">
        <f ca="1">250+0.6*(TblRezone[[#This Row],[Land]]-250)</f>
        <v>460</v>
      </c>
      <c r="AB117" s="281"/>
      <c r="AC117" s="203">
        <f ca="1">TblConstr[[#This Row],[Facs DB]]</f>
        <v>7.4999999999999997E-2</v>
      </c>
    </row>
    <row r="118" spans="1:29" x14ac:dyDescent="0.2">
      <c r="A118" s="280">
        <f ca="1">TblConstr[[#This Row],[Land]]</f>
        <v>600</v>
      </c>
      <c r="B118" s="282">
        <f ca="1">TblConstr[[#This Row],[Plain]]</f>
        <v>0</v>
      </c>
      <c r="C118" s="236">
        <f ca="1">TblConstr[[#This Row],[Forest]]</f>
        <v>0</v>
      </c>
      <c r="D118" s="478">
        <f ca="1">TblConstr[[#This Row],[Mountain]]</f>
        <v>0</v>
      </c>
      <c r="E118" s="482">
        <f ca="1">TblConstr[[#This Row],[Hill]]</f>
        <v>0</v>
      </c>
      <c r="F118" s="486">
        <f ca="1">TblConstr[[#This Row],[Swamp]]</f>
        <v>0</v>
      </c>
      <c r="G118" s="239">
        <f ca="1">TblConstr[[#This Row],[Cavern]]</f>
        <v>0</v>
      </c>
      <c r="H118" s="240">
        <f ca="1">TblConstr[[#This Row],[Water]]</f>
        <v>0</v>
      </c>
      <c r="I118" s="281"/>
      <c r="J118" s="228">
        <f t="shared" si="3"/>
        <v>115</v>
      </c>
      <c r="K118" s="305">
        <f ca="1">TblImps[[#This Row],[Real time]]</f>
        <v>44409.499999999724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1522691</v>
      </c>
      <c r="W118" s="281"/>
      <c r="X118" s="113">
        <f ca="1">ROUNDUP( (1-MIN(ROUND(facs_rezone_factor*TblRezone[[#This Row],[Facs]],4),facs_rezone_max) + tech_6_4*TblTech[[#This Row],[6-4]] + tech_10_2*TblTech[[#This Row],[10-2]] - IF(TblMagic[[#This Row],[Active Mechanical Genius]]&gt;0,mech_genius_bonus,0) + race_rezone_cost) * TblRezone[[#This Row],[Plat/acre*]],0)</f>
        <v>322</v>
      </c>
      <c r="Y118" s="113">
        <f ca="1">TblRezone[[#This Row],[Total acres]]*TblRezone[[#This Row],[Plat/acre]]</f>
        <v>0</v>
      </c>
      <c r="Z118" s="281"/>
      <c r="AA118" s="113">
        <f ca="1">250+0.6*(TblRezone[[#This Row],[Land]]-250)</f>
        <v>460</v>
      </c>
      <c r="AB118" s="281"/>
      <c r="AC118" s="203">
        <f ca="1">TblConstr[[#This Row],[Facs DB]]</f>
        <v>7.4999999999999997E-2</v>
      </c>
    </row>
    <row r="119" spans="1:29" x14ac:dyDescent="0.2">
      <c r="A119" s="280">
        <f ca="1">TblConstr[[#This Row],[Land]]</f>
        <v>600</v>
      </c>
      <c r="B119" s="282">
        <f ca="1">TblConstr[[#This Row],[Plain]]</f>
        <v>0</v>
      </c>
      <c r="C119" s="236">
        <f ca="1">TblConstr[[#This Row],[Forest]]</f>
        <v>0</v>
      </c>
      <c r="D119" s="478">
        <f ca="1">TblConstr[[#This Row],[Mountain]]</f>
        <v>0</v>
      </c>
      <c r="E119" s="482">
        <f ca="1">TblConstr[[#This Row],[Hill]]</f>
        <v>0</v>
      </c>
      <c r="F119" s="486">
        <f ca="1">TblConstr[[#This Row],[Swamp]]</f>
        <v>0</v>
      </c>
      <c r="G119" s="239">
        <f ca="1">TblConstr[[#This Row],[Cavern]]</f>
        <v>0</v>
      </c>
      <c r="H119" s="240">
        <f ca="1">TblConstr[[#This Row],[Water]]</f>
        <v>0</v>
      </c>
      <c r="I119" s="281"/>
      <c r="J119" s="228">
        <f t="shared" si="3"/>
        <v>116</v>
      </c>
      <c r="K119" s="305">
        <f ca="1">TblImps[[#This Row],[Real time]]</f>
        <v>44409.541666666388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1547641</v>
      </c>
      <c r="W119" s="281"/>
      <c r="X119" s="113">
        <f ca="1">ROUNDUP( (1-MIN(ROUND(facs_rezone_factor*TblRezone[[#This Row],[Facs]],4),facs_rezone_max) + tech_6_4*TblTech[[#This Row],[6-4]] + tech_10_2*TblTech[[#This Row],[10-2]] - IF(TblMagic[[#This Row],[Active Mechanical Genius]]&gt;0,mech_genius_bonus,0) + race_rezone_cost) * TblRezone[[#This Row],[Plat/acre*]],0)</f>
        <v>322</v>
      </c>
      <c r="Y119" s="113">
        <f ca="1">TblRezone[[#This Row],[Total acres]]*TblRezone[[#This Row],[Plat/acre]]</f>
        <v>0</v>
      </c>
      <c r="Z119" s="281"/>
      <c r="AA119" s="113">
        <f ca="1">250+0.6*(TblRezone[[#This Row],[Land]]-250)</f>
        <v>460</v>
      </c>
      <c r="AB119" s="281"/>
      <c r="AC119" s="203">
        <f ca="1">TblConstr[[#This Row],[Facs DB]]</f>
        <v>7.4999999999999997E-2</v>
      </c>
    </row>
    <row r="120" spans="1:29" x14ac:dyDescent="0.2">
      <c r="A120" s="280">
        <f ca="1">TblConstr[[#This Row],[Land]]</f>
        <v>600</v>
      </c>
      <c r="B120" s="282">
        <f ca="1">TblConstr[[#This Row],[Plain]]</f>
        <v>0</v>
      </c>
      <c r="C120" s="236">
        <f ca="1">TblConstr[[#This Row],[Forest]]</f>
        <v>0</v>
      </c>
      <c r="D120" s="478">
        <f ca="1">TblConstr[[#This Row],[Mountain]]</f>
        <v>0</v>
      </c>
      <c r="E120" s="482">
        <f ca="1">TblConstr[[#This Row],[Hill]]</f>
        <v>0</v>
      </c>
      <c r="F120" s="486">
        <f ca="1">TblConstr[[#This Row],[Swamp]]</f>
        <v>0</v>
      </c>
      <c r="G120" s="239">
        <f ca="1">TblConstr[[#This Row],[Cavern]]</f>
        <v>0</v>
      </c>
      <c r="H120" s="240">
        <f ca="1">TblConstr[[#This Row],[Water]]</f>
        <v>0</v>
      </c>
      <c r="I120" s="281"/>
      <c r="J120" s="228">
        <f t="shared" si="3"/>
        <v>117</v>
      </c>
      <c r="K120" s="305">
        <f ca="1">TblImps[[#This Row],[Real time]]</f>
        <v>44409.583333333052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1572462</v>
      </c>
      <c r="W120" s="281"/>
      <c r="X120" s="113">
        <f ca="1">ROUNDUP( (1-MIN(ROUND(facs_rezone_factor*TblRezone[[#This Row],[Facs]],4),facs_rezone_max) + tech_6_4*TblTech[[#This Row],[6-4]] + tech_10_2*TblTech[[#This Row],[10-2]] - IF(TblMagic[[#This Row],[Active Mechanical Genius]]&gt;0,mech_genius_bonus,0) + race_rezone_cost) * TblRezone[[#This Row],[Plat/acre*]],0)</f>
        <v>322</v>
      </c>
      <c r="Y120" s="113">
        <f ca="1">TblRezone[[#This Row],[Total acres]]*TblRezone[[#This Row],[Plat/acre]]</f>
        <v>0</v>
      </c>
      <c r="Z120" s="281"/>
      <c r="AA120" s="113">
        <f ca="1">250+0.6*(TblRezone[[#This Row],[Land]]-250)</f>
        <v>460</v>
      </c>
      <c r="AB120" s="281"/>
      <c r="AC120" s="203">
        <f ca="1">TblConstr[[#This Row],[Facs DB]]</f>
        <v>7.4999999999999997E-2</v>
      </c>
    </row>
    <row r="121" spans="1:29" x14ac:dyDescent="0.2">
      <c r="A121" s="280">
        <f ca="1">TblConstr[[#This Row],[Land]]</f>
        <v>600</v>
      </c>
      <c r="B121" s="282">
        <f ca="1">TblConstr[[#This Row],[Plain]]</f>
        <v>0</v>
      </c>
      <c r="C121" s="236">
        <f ca="1">TblConstr[[#This Row],[Forest]]</f>
        <v>0</v>
      </c>
      <c r="D121" s="478">
        <f ca="1">TblConstr[[#This Row],[Mountain]]</f>
        <v>0</v>
      </c>
      <c r="E121" s="482">
        <f ca="1">TblConstr[[#This Row],[Hill]]</f>
        <v>0</v>
      </c>
      <c r="F121" s="486">
        <f ca="1">TblConstr[[#This Row],[Swamp]]</f>
        <v>0</v>
      </c>
      <c r="G121" s="239">
        <f ca="1">TblConstr[[#This Row],[Cavern]]</f>
        <v>0</v>
      </c>
      <c r="H121" s="240">
        <f ca="1">TblConstr[[#This Row],[Water]]</f>
        <v>0</v>
      </c>
      <c r="I121" s="281"/>
      <c r="J121" s="228">
        <f t="shared" si="3"/>
        <v>118</v>
      </c>
      <c r="K121" s="305">
        <f ca="1">TblImps[[#This Row],[Real time]]</f>
        <v>44409.624999999716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1597153</v>
      </c>
      <c r="W121" s="281"/>
      <c r="X121" s="113">
        <f ca="1">ROUNDUP( (1-MIN(ROUND(facs_rezone_factor*TblRezone[[#This Row],[Facs]],4),facs_rezone_max) + tech_6_4*TblTech[[#This Row],[6-4]] + tech_10_2*TblTech[[#This Row],[10-2]] - IF(TblMagic[[#This Row],[Active Mechanical Genius]]&gt;0,mech_genius_bonus,0) + race_rezone_cost) * TblRezone[[#This Row],[Plat/acre*]],0)</f>
        <v>322</v>
      </c>
      <c r="Y121" s="113">
        <f ca="1">TblRezone[[#This Row],[Total acres]]*TblRezone[[#This Row],[Plat/acre]]</f>
        <v>0</v>
      </c>
      <c r="Z121" s="281"/>
      <c r="AA121" s="113">
        <f ca="1">250+0.6*(TblRezone[[#This Row],[Land]]-250)</f>
        <v>460</v>
      </c>
      <c r="AB121" s="281"/>
      <c r="AC121" s="203">
        <f ca="1">TblConstr[[#This Row],[Facs DB]]</f>
        <v>7.4999999999999997E-2</v>
      </c>
    </row>
    <row r="122" spans="1:29" x14ac:dyDescent="0.2">
      <c r="A122" s="280">
        <f ca="1">TblConstr[[#This Row],[Land]]</f>
        <v>600</v>
      </c>
      <c r="B122" s="282">
        <f ca="1">TblConstr[[#This Row],[Plain]]</f>
        <v>0</v>
      </c>
      <c r="C122" s="236">
        <f ca="1">TblConstr[[#This Row],[Forest]]</f>
        <v>0</v>
      </c>
      <c r="D122" s="478">
        <f ca="1">TblConstr[[#This Row],[Mountain]]</f>
        <v>0</v>
      </c>
      <c r="E122" s="482">
        <f ca="1">TblConstr[[#This Row],[Hill]]</f>
        <v>0</v>
      </c>
      <c r="F122" s="486">
        <f ca="1">TblConstr[[#This Row],[Swamp]]</f>
        <v>0</v>
      </c>
      <c r="G122" s="239">
        <f ca="1">TblConstr[[#This Row],[Cavern]]</f>
        <v>0</v>
      </c>
      <c r="H122" s="240">
        <f ca="1">TblConstr[[#This Row],[Water]]</f>
        <v>0</v>
      </c>
      <c r="I122" s="281"/>
      <c r="J122" s="228">
        <f t="shared" si="3"/>
        <v>119</v>
      </c>
      <c r="K122" s="305">
        <f ca="1">TblImps[[#This Row],[Real time]]</f>
        <v>44409.66666666638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1621717</v>
      </c>
      <c r="W122" s="281"/>
      <c r="X122" s="113">
        <f ca="1">ROUNDUP( (1-MIN(ROUND(facs_rezone_factor*TblRezone[[#This Row],[Facs]],4),facs_rezone_max) + tech_6_4*TblTech[[#This Row],[6-4]] + tech_10_2*TblTech[[#This Row],[10-2]] - IF(TblMagic[[#This Row],[Active Mechanical Genius]]&gt;0,mech_genius_bonus,0) + race_rezone_cost) * TblRezone[[#This Row],[Plat/acre*]],0)</f>
        <v>322</v>
      </c>
      <c r="Y122" s="113">
        <f ca="1">TblRezone[[#This Row],[Total acres]]*TblRezone[[#This Row],[Plat/acre]]</f>
        <v>0</v>
      </c>
      <c r="Z122" s="281"/>
      <c r="AA122" s="113">
        <f ca="1">250+0.6*(TblRezone[[#This Row],[Land]]-250)</f>
        <v>460</v>
      </c>
      <c r="AB122" s="281"/>
      <c r="AC122" s="203">
        <f ca="1">TblConstr[[#This Row],[Facs DB]]</f>
        <v>7.4999999999999997E-2</v>
      </c>
    </row>
    <row r="123" spans="1:29" x14ac:dyDescent="0.2">
      <c r="A123" s="280">
        <f ca="1">TblConstr[[#This Row],[Land]]</f>
        <v>600</v>
      </c>
      <c r="B123" s="282">
        <f ca="1">TblConstr[[#This Row],[Plain]]</f>
        <v>0</v>
      </c>
      <c r="C123" s="236">
        <f ca="1">TblConstr[[#This Row],[Forest]]</f>
        <v>0</v>
      </c>
      <c r="D123" s="478">
        <f ca="1">TblConstr[[#This Row],[Mountain]]</f>
        <v>0</v>
      </c>
      <c r="E123" s="482">
        <f ca="1">TblConstr[[#This Row],[Hill]]</f>
        <v>0</v>
      </c>
      <c r="F123" s="486">
        <f ca="1">TblConstr[[#This Row],[Swamp]]</f>
        <v>0</v>
      </c>
      <c r="G123" s="239">
        <f ca="1">TblConstr[[#This Row],[Cavern]]</f>
        <v>0</v>
      </c>
      <c r="H123" s="240">
        <f ca="1">TblConstr[[#This Row],[Water]]</f>
        <v>0</v>
      </c>
      <c r="I123" s="281"/>
      <c r="J123" s="228">
        <f t="shared" si="3"/>
        <v>120</v>
      </c>
      <c r="K123" s="305">
        <f ca="1">TblImps[[#This Row],[Real time]]</f>
        <v>44409.708333333045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1646154</v>
      </c>
      <c r="W123" s="281"/>
      <c r="X123" s="113">
        <f ca="1">ROUNDUP( (1-MIN(ROUND(facs_rezone_factor*TblRezone[[#This Row],[Facs]],4),facs_rezone_max) + tech_6_4*TblTech[[#This Row],[6-4]] + tech_10_2*TblTech[[#This Row],[10-2]] - IF(TblMagic[[#This Row],[Active Mechanical Genius]]&gt;0,mech_genius_bonus,0) + race_rezone_cost) * TblRezone[[#This Row],[Plat/acre*]],0)</f>
        <v>322</v>
      </c>
      <c r="Y123" s="113">
        <f ca="1">TblRezone[[#This Row],[Total acres]]*TblRezone[[#This Row],[Plat/acre]]</f>
        <v>0</v>
      </c>
      <c r="Z123" s="281"/>
      <c r="AA123" s="113">
        <f ca="1">250+0.6*(TblRezone[[#This Row],[Land]]-250)</f>
        <v>460</v>
      </c>
      <c r="AB123" s="281"/>
      <c r="AC123" s="203">
        <f ca="1">TblConstr[[#This Row],[Facs DB]]</f>
        <v>7.4999999999999997E-2</v>
      </c>
    </row>
    <row r="124" spans="1:29" x14ac:dyDescent="0.2">
      <c r="A124" s="280">
        <f ca="1">TblConstr[[#This Row],[Land]]</f>
        <v>600</v>
      </c>
      <c r="B124" s="282">
        <f ca="1">TblConstr[[#This Row],[Plain]]</f>
        <v>0</v>
      </c>
      <c r="C124" s="236">
        <f ca="1">TblConstr[[#This Row],[Forest]]</f>
        <v>0</v>
      </c>
      <c r="D124" s="478">
        <f ca="1">TblConstr[[#This Row],[Mountain]]</f>
        <v>0</v>
      </c>
      <c r="E124" s="482">
        <f ca="1">TblConstr[[#This Row],[Hill]]</f>
        <v>0</v>
      </c>
      <c r="F124" s="486">
        <f ca="1">TblConstr[[#This Row],[Swamp]]</f>
        <v>0</v>
      </c>
      <c r="G124" s="239">
        <f ca="1">TblConstr[[#This Row],[Cavern]]</f>
        <v>0</v>
      </c>
      <c r="H124" s="240">
        <f ca="1">TblConstr[[#This Row],[Water]]</f>
        <v>0</v>
      </c>
      <c r="I124" s="281"/>
      <c r="J124" s="228">
        <f t="shared" si="3"/>
        <v>121</v>
      </c>
      <c r="K124" s="305">
        <f ca="1">TblImps[[#This Row],[Real time]]</f>
        <v>44409.749999999709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1670464</v>
      </c>
      <c r="W124" s="281"/>
      <c r="X124" s="113">
        <f ca="1">ROUNDUP( (1-MIN(ROUND(facs_rezone_factor*TblRezone[[#This Row],[Facs]],4),facs_rezone_max) + tech_6_4*TblTech[[#This Row],[6-4]] + tech_10_2*TblTech[[#This Row],[10-2]] - IF(TblMagic[[#This Row],[Active Mechanical Genius]]&gt;0,mech_genius_bonus,0) + race_rezone_cost) * TblRezone[[#This Row],[Plat/acre*]],0)</f>
        <v>322</v>
      </c>
      <c r="Y124" s="113">
        <f ca="1">TblRezone[[#This Row],[Total acres]]*TblRezone[[#This Row],[Plat/acre]]</f>
        <v>0</v>
      </c>
      <c r="Z124" s="281"/>
      <c r="AA124" s="113">
        <f ca="1">250+0.6*(TblRezone[[#This Row],[Land]]-250)</f>
        <v>460</v>
      </c>
      <c r="AB124" s="281"/>
      <c r="AC124" s="203">
        <f ca="1">TblConstr[[#This Row],[Facs DB]]</f>
        <v>7.4999999999999997E-2</v>
      </c>
    </row>
    <row r="125" spans="1:29" x14ac:dyDescent="0.2">
      <c r="A125" s="280">
        <f ca="1">TblConstr[[#This Row],[Land]]</f>
        <v>600</v>
      </c>
      <c r="B125" s="282">
        <f ca="1">TblConstr[[#This Row],[Plain]]</f>
        <v>0</v>
      </c>
      <c r="C125" s="236">
        <f ca="1">TblConstr[[#This Row],[Forest]]</f>
        <v>0</v>
      </c>
      <c r="D125" s="478">
        <f ca="1">TblConstr[[#This Row],[Mountain]]</f>
        <v>0</v>
      </c>
      <c r="E125" s="482">
        <f ca="1">TblConstr[[#This Row],[Hill]]</f>
        <v>0</v>
      </c>
      <c r="F125" s="486">
        <f ca="1">TblConstr[[#This Row],[Swamp]]</f>
        <v>0</v>
      </c>
      <c r="G125" s="239">
        <f ca="1">TblConstr[[#This Row],[Cavern]]</f>
        <v>0</v>
      </c>
      <c r="H125" s="240">
        <f ca="1">TblConstr[[#This Row],[Water]]</f>
        <v>0</v>
      </c>
      <c r="I125" s="281"/>
      <c r="J125" s="228">
        <f t="shared" si="3"/>
        <v>122</v>
      </c>
      <c r="K125" s="305">
        <f ca="1">TblImps[[#This Row],[Real time]]</f>
        <v>44409.791666666373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1694650</v>
      </c>
      <c r="W125" s="281"/>
      <c r="X125" s="113">
        <f ca="1">ROUNDUP( (1-MIN(ROUND(facs_rezone_factor*TblRezone[[#This Row],[Facs]],4),facs_rezone_max) + tech_6_4*TblTech[[#This Row],[6-4]] + tech_10_2*TblTech[[#This Row],[10-2]] - IF(TblMagic[[#This Row],[Active Mechanical Genius]]&gt;0,mech_genius_bonus,0) + race_rezone_cost) * TblRezone[[#This Row],[Plat/acre*]],0)</f>
        <v>322</v>
      </c>
      <c r="Y125" s="113">
        <f ca="1">TblRezone[[#This Row],[Total acres]]*TblRezone[[#This Row],[Plat/acre]]</f>
        <v>0</v>
      </c>
      <c r="Z125" s="281"/>
      <c r="AA125" s="113">
        <f ca="1">250+0.6*(TblRezone[[#This Row],[Land]]-250)</f>
        <v>460</v>
      </c>
      <c r="AB125" s="281"/>
      <c r="AC125" s="203">
        <f ca="1">TblConstr[[#This Row],[Facs DB]]</f>
        <v>7.4999999999999997E-2</v>
      </c>
    </row>
    <row r="126" spans="1:29" x14ac:dyDescent="0.2">
      <c r="A126" s="280">
        <f ca="1">TblConstr[[#This Row],[Land]]</f>
        <v>600</v>
      </c>
      <c r="B126" s="282">
        <f ca="1">TblConstr[[#This Row],[Plain]]</f>
        <v>0</v>
      </c>
      <c r="C126" s="236">
        <f ca="1">TblConstr[[#This Row],[Forest]]</f>
        <v>0</v>
      </c>
      <c r="D126" s="478">
        <f ca="1">TblConstr[[#This Row],[Mountain]]</f>
        <v>0</v>
      </c>
      <c r="E126" s="482">
        <f ca="1">TblConstr[[#This Row],[Hill]]</f>
        <v>0</v>
      </c>
      <c r="F126" s="486">
        <f ca="1">TblConstr[[#This Row],[Swamp]]</f>
        <v>0</v>
      </c>
      <c r="G126" s="239">
        <f ca="1">TblConstr[[#This Row],[Cavern]]</f>
        <v>0</v>
      </c>
      <c r="H126" s="240">
        <f ca="1">TblConstr[[#This Row],[Water]]</f>
        <v>0</v>
      </c>
      <c r="I126" s="281"/>
      <c r="J126" s="228">
        <f t="shared" si="3"/>
        <v>123</v>
      </c>
      <c r="K126" s="305">
        <f ca="1">TblImps[[#This Row],[Real time]]</f>
        <v>44409.833333333037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1718712</v>
      </c>
      <c r="W126" s="281"/>
      <c r="X126" s="113">
        <f ca="1">ROUNDUP( (1-MIN(ROUND(facs_rezone_factor*TblRezone[[#This Row],[Facs]],4),facs_rezone_max) + tech_6_4*TblTech[[#This Row],[6-4]] + tech_10_2*TblTech[[#This Row],[10-2]] - IF(TblMagic[[#This Row],[Active Mechanical Genius]]&gt;0,mech_genius_bonus,0) + race_rezone_cost) * TblRezone[[#This Row],[Plat/acre*]],0)</f>
        <v>322</v>
      </c>
      <c r="Y126" s="113">
        <f ca="1">TblRezone[[#This Row],[Total acres]]*TblRezone[[#This Row],[Plat/acre]]</f>
        <v>0</v>
      </c>
      <c r="Z126" s="281"/>
      <c r="AA126" s="113">
        <f ca="1">250+0.6*(TblRezone[[#This Row],[Land]]-250)</f>
        <v>460</v>
      </c>
      <c r="AB126" s="281"/>
      <c r="AC126" s="203">
        <f ca="1">TblConstr[[#This Row],[Facs DB]]</f>
        <v>7.4999999999999997E-2</v>
      </c>
    </row>
    <row r="127" spans="1:29" x14ac:dyDescent="0.2">
      <c r="A127" s="280">
        <f ca="1">TblConstr[[#This Row],[Land]]</f>
        <v>600</v>
      </c>
      <c r="B127" s="282">
        <f ca="1">TblConstr[[#This Row],[Plain]]</f>
        <v>0</v>
      </c>
      <c r="C127" s="236">
        <f ca="1">TblConstr[[#This Row],[Forest]]</f>
        <v>0</v>
      </c>
      <c r="D127" s="478">
        <f ca="1">TblConstr[[#This Row],[Mountain]]</f>
        <v>0</v>
      </c>
      <c r="E127" s="482">
        <f ca="1">TblConstr[[#This Row],[Hill]]</f>
        <v>0</v>
      </c>
      <c r="F127" s="486">
        <f ca="1">TblConstr[[#This Row],[Swamp]]</f>
        <v>0</v>
      </c>
      <c r="G127" s="239">
        <f ca="1">TblConstr[[#This Row],[Cavern]]</f>
        <v>0</v>
      </c>
      <c r="H127" s="240">
        <f ca="1">TblConstr[[#This Row],[Water]]</f>
        <v>0</v>
      </c>
      <c r="I127" s="281"/>
      <c r="J127" s="228">
        <f t="shared" si="3"/>
        <v>124</v>
      </c>
      <c r="K127" s="305">
        <f ca="1">TblImps[[#This Row],[Real time]]</f>
        <v>44409.874999999702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1742652</v>
      </c>
      <c r="W127" s="281"/>
      <c r="X127" s="113">
        <f ca="1">ROUNDUP( (1-MIN(ROUND(facs_rezone_factor*TblRezone[[#This Row],[Facs]],4),facs_rezone_max) + tech_6_4*TblTech[[#This Row],[6-4]] + tech_10_2*TblTech[[#This Row],[10-2]] - IF(TblMagic[[#This Row],[Active Mechanical Genius]]&gt;0,mech_genius_bonus,0) + race_rezone_cost) * TblRezone[[#This Row],[Plat/acre*]],0)</f>
        <v>322</v>
      </c>
      <c r="Y127" s="113">
        <f ca="1">TblRezone[[#This Row],[Total acres]]*TblRezone[[#This Row],[Plat/acre]]</f>
        <v>0</v>
      </c>
      <c r="Z127" s="281"/>
      <c r="AA127" s="113">
        <f ca="1">250+0.6*(TblRezone[[#This Row],[Land]]-250)</f>
        <v>460</v>
      </c>
      <c r="AB127" s="281"/>
      <c r="AC127" s="203">
        <f ca="1">TblConstr[[#This Row],[Facs DB]]</f>
        <v>7.4999999999999997E-2</v>
      </c>
    </row>
    <row r="128" spans="1:29" x14ac:dyDescent="0.2">
      <c r="A128" s="280">
        <f ca="1">TblConstr[[#This Row],[Land]]</f>
        <v>600</v>
      </c>
      <c r="B128" s="282">
        <f ca="1">TblConstr[[#This Row],[Plain]]</f>
        <v>0</v>
      </c>
      <c r="C128" s="236">
        <f ca="1">TblConstr[[#This Row],[Forest]]</f>
        <v>0</v>
      </c>
      <c r="D128" s="478">
        <f ca="1">TblConstr[[#This Row],[Mountain]]</f>
        <v>0</v>
      </c>
      <c r="E128" s="482">
        <f ca="1">TblConstr[[#This Row],[Hill]]</f>
        <v>0</v>
      </c>
      <c r="F128" s="486">
        <f ca="1">TblConstr[[#This Row],[Swamp]]</f>
        <v>0</v>
      </c>
      <c r="G128" s="239">
        <f ca="1">TblConstr[[#This Row],[Cavern]]</f>
        <v>0</v>
      </c>
      <c r="H128" s="240">
        <f ca="1">TblConstr[[#This Row],[Water]]</f>
        <v>0</v>
      </c>
      <c r="I128" s="281"/>
      <c r="J128" s="228">
        <f t="shared" si="3"/>
        <v>125</v>
      </c>
      <c r="K128" s="305">
        <f ca="1">TblImps[[#This Row],[Real time]]</f>
        <v>44409.916666666366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1766471</v>
      </c>
      <c r="W128" s="281"/>
      <c r="X128" s="113">
        <f ca="1">ROUNDUP( (1-MIN(ROUND(facs_rezone_factor*TblRezone[[#This Row],[Facs]],4),facs_rezone_max) + tech_6_4*TblTech[[#This Row],[6-4]] + tech_10_2*TblTech[[#This Row],[10-2]] - IF(TblMagic[[#This Row],[Active Mechanical Genius]]&gt;0,mech_genius_bonus,0) + race_rezone_cost) * TblRezone[[#This Row],[Plat/acre*]],0)</f>
        <v>322</v>
      </c>
      <c r="Y128" s="113">
        <f ca="1">TblRezone[[#This Row],[Total acres]]*TblRezone[[#This Row],[Plat/acre]]</f>
        <v>0</v>
      </c>
      <c r="Z128" s="281"/>
      <c r="AA128" s="113">
        <f ca="1">250+0.6*(TblRezone[[#This Row],[Land]]-250)</f>
        <v>460</v>
      </c>
      <c r="AB128" s="281"/>
      <c r="AC128" s="203">
        <f ca="1">TblConstr[[#This Row],[Facs DB]]</f>
        <v>7.4999999999999997E-2</v>
      </c>
    </row>
    <row r="129" spans="1:29" x14ac:dyDescent="0.2">
      <c r="A129" s="280">
        <f ca="1">TblConstr[[#This Row],[Land]]</f>
        <v>600</v>
      </c>
      <c r="B129" s="282">
        <f ca="1">TblConstr[[#This Row],[Plain]]</f>
        <v>0</v>
      </c>
      <c r="C129" s="236">
        <f ca="1">TblConstr[[#This Row],[Forest]]</f>
        <v>0</v>
      </c>
      <c r="D129" s="478">
        <f ca="1">TblConstr[[#This Row],[Mountain]]</f>
        <v>0</v>
      </c>
      <c r="E129" s="482">
        <f ca="1">TblConstr[[#This Row],[Hill]]</f>
        <v>0</v>
      </c>
      <c r="F129" s="486">
        <f ca="1">TblConstr[[#This Row],[Swamp]]</f>
        <v>0</v>
      </c>
      <c r="G129" s="239">
        <f ca="1">TblConstr[[#This Row],[Cavern]]</f>
        <v>0</v>
      </c>
      <c r="H129" s="240">
        <f ca="1">TblConstr[[#This Row],[Water]]</f>
        <v>0</v>
      </c>
      <c r="I129" s="281"/>
      <c r="J129" s="228">
        <f t="shared" si="3"/>
        <v>126</v>
      </c>
      <c r="K129" s="305">
        <f ca="1">TblImps[[#This Row],[Real time]]</f>
        <v>44409.95833333303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1790171</v>
      </c>
      <c r="W129" s="281"/>
      <c r="X129" s="113">
        <f ca="1">ROUNDUP( (1-MIN(ROUND(facs_rezone_factor*TblRezone[[#This Row],[Facs]],4),facs_rezone_max) + tech_6_4*TblTech[[#This Row],[6-4]] + tech_10_2*TblTech[[#This Row],[10-2]] - IF(TblMagic[[#This Row],[Active Mechanical Genius]]&gt;0,mech_genius_bonus,0) + race_rezone_cost) * TblRezone[[#This Row],[Plat/acre*]],0)</f>
        <v>322</v>
      </c>
      <c r="Y129" s="113">
        <f ca="1">TblRezone[[#This Row],[Total acres]]*TblRezone[[#This Row],[Plat/acre]]</f>
        <v>0</v>
      </c>
      <c r="Z129" s="281"/>
      <c r="AA129" s="113">
        <f ca="1">250+0.6*(TblRezone[[#This Row],[Land]]-250)</f>
        <v>460</v>
      </c>
      <c r="AB129" s="281"/>
      <c r="AC129" s="203">
        <f ca="1">TblConstr[[#This Row],[Facs DB]]</f>
        <v>7.4999999999999997E-2</v>
      </c>
    </row>
    <row r="130" spans="1:29" x14ac:dyDescent="0.2">
      <c r="A130" s="280">
        <f ca="1">TblConstr[[#This Row],[Land]]</f>
        <v>600</v>
      </c>
      <c r="B130" s="282">
        <f ca="1">TblConstr[[#This Row],[Plain]]</f>
        <v>0</v>
      </c>
      <c r="C130" s="236">
        <f ca="1">TblConstr[[#This Row],[Forest]]</f>
        <v>0</v>
      </c>
      <c r="D130" s="478">
        <f ca="1">TblConstr[[#This Row],[Mountain]]</f>
        <v>0</v>
      </c>
      <c r="E130" s="482">
        <f ca="1">TblConstr[[#This Row],[Hill]]</f>
        <v>0</v>
      </c>
      <c r="F130" s="486">
        <f ca="1">TblConstr[[#This Row],[Swamp]]</f>
        <v>0</v>
      </c>
      <c r="G130" s="239">
        <f ca="1">TblConstr[[#This Row],[Cavern]]</f>
        <v>0</v>
      </c>
      <c r="H130" s="240">
        <f ca="1">TblConstr[[#This Row],[Water]]</f>
        <v>0</v>
      </c>
      <c r="I130" s="281"/>
      <c r="J130" s="228">
        <f t="shared" si="3"/>
        <v>127</v>
      </c>
      <c r="K130" s="305">
        <f ca="1">TblImps[[#This Row],[Real time]]</f>
        <v>44409.999999999694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1813752</v>
      </c>
      <c r="W130" s="281"/>
      <c r="X130" s="113">
        <f ca="1">ROUNDUP( (1-MIN(ROUND(facs_rezone_factor*TblRezone[[#This Row],[Facs]],4),facs_rezone_max) + tech_6_4*TblTech[[#This Row],[6-4]] + tech_10_2*TblTech[[#This Row],[10-2]] - IF(TblMagic[[#This Row],[Active Mechanical Genius]]&gt;0,mech_genius_bonus,0) + race_rezone_cost) * TblRezone[[#This Row],[Plat/acre*]],0)</f>
        <v>322</v>
      </c>
      <c r="Y130" s="113">
        <f ca="1">TblRezone[[#This Row],[Total acres]]*TblRezone[[#This Row],[Plat/acre]]</f>
        <v>0</v>
      </c>
      <c r="Z130" s="281"/>
      <c r="AA130" s="113">
        <f ca="1">250+0.6*(TblRezone[[#This Row],[Land]]-250)</f>
        <v>460</v>
      </c>
      <c r="AB130" s="281"/>
      <c r="AC130" s="203">
        <f ca="1">TblConstr[[#This Row],[Facs DB]]</f>
        <v>7.4999999999999997E-2</v>
      </c>
    </row>
    <row r="131" spans="1:29" x14ac:dyDescent="0.2">
      <c r="A131" s="280">
        <f ca="1">TblConstr[[#This Row],[Land]]</f>
        <v>600</v>
      </c>
      <c r="B131" s="282">
        <f ca="1">TblConstr[[#This Row],[Plain]]</f>
        <v>0</v>
      </c>
      <c r="C131" s="236">
        <f ca="1">TblConstr[[#This Row],[Forest]]</f>
        <v>0</v>
      </c>
      <c r="D131" s="478">
        <f ca="1">TblConstr[[#This Row],[Mountain]]</f>
        <v>0</v>
      </c>
      <c r="E131" s="482">
        <f ca="1">TblConstr[[#This Row],[Hill]]</f>
        <v>0</v>
      </c>
      <c r="F131" s="486">
        <f ca="1">TblConstr[[#This Row],[Swamp]]</f>
        <v>0</v>
      </c>
      <c r="G131" s="239">
        <f ca="1">TblConstr[[#This Row],[Cavern]]</f>
        <v>0</v>
      </c>
      <c r="H131" s="240">
        <f ca="1">TblConstr[[#This Row],[Water]]</f>
        <v>0</v>
      </c>
      <c r="I131" s="281"/>
      <c r="J131" s="228">
        <f t="shared" si="3"/>
        <v>128</v>
      </c>
      <c r="K131" s="305">
        <f ca="1">TblImps[[#This Row],[Real time]]</f>
        <v>44410.041666666359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1837217</v>
      </c>
      <c r="W131" s="281"/>
      <c r="X131" s="113">
        <f ca="1">ROUNDUP( (1-MIN(ROUND(facs_rezone_factor*TblRezone[[#This Row],[Facs]],4),facs_rezone_max) + tech_6_4*TblTech[[#This Row],[6-4]] + tech_10_2*TblTech[[#This Row],[10-2]] - IF(TblMagic[[#This Row],[Active Mechanical Genius]]&gt;0,mech_genius_bonus,0) + race_rezone_cost) * TblRezone[[#This Row],[Plat/acre*]],0)</f>
        <v>322</v>
      </c>
      <c r="Y131" s="113">
        <f ca="1">TblRezone[[#This Row],[Total acres]]*TblRezone[[#This Row],[Plat/acre]]</f>
        <v>0</v>
      </c>
      <c r="Z131" s="281"/>
      <c r="AA131" s="113">
        <f ca="1">250+0.6*(TblRezone[[#This Row],[Land]]-250)</f>
        <v>460</v>
      </c>
      <c r="AB131" s="281"/>
      <c r="AC131" s="203">
        <f ca="1">TblConstr[[#This Row],[Facs DB]]</f>
        <v>7.4999999999999997E-2</v>
      </c>
    </row>
    <row r="132" spans="1:29" x14ac:dyDescent="0.2">
      <c r="A132" s="280">
        <f ca="1">TblConstr[[#This Row],[Land]]</f>
        <v>600</v>
      </c>
      <c r="B132" s="282">
        <f ca="1">TblConstr[[#This Row],[Plain]]</f>
        <v>0</v>
      </c>
      <c r="C132" s="236">
        <f ca="1">TblConstr[[#This Row],[Forest]]</f>
        <v>0</v>
      </c>
      <c r="D132" s="478">
        <f ca="1">TblConstr[[#This Row],[Mountain]]</f>
        <v>0</v>
      </c>
      <c r="E132" s="482">
        <f ca="1">TblConstr[[#This Row],[Hill]]</f>
        <v>0</v>
      </c>
      <c r="F132" s="486">
        <f ca="1">TblConstr[[#This Row],[Swamp]]</f>
        <v>0</v>
      </c>
      <c r="G132" s="239">
        <f ca="1">TblConstr[[#This Row],[Cavern]]</f>
        <v>0</v>
      </c>
      <c r="H132" s="240">
        <f ca="1">TblConstr[[#This Row],[Water]]</f>
        <v>0</v>
      </c>
      <c r="I132" s="281"/>
      <c r="J132" s="228">
        <f t="shared" si="3"/>
        <v>129</v>
      </c>
      <c r="K132" s="305">
        <f ca="1">TblImps[[#This Row],[Real time]]</f>
        <v>44410.083333333023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1860566</v>
      </c>
      <c r="W132" s="281"/>
      <c r="X132" s="113">
        <f ca="1">ROUNDUP( (1-MIN(ROUND(facs_rezone_factor*TblRezone[[#This Row],[Facs]],4),facs_rezone_max) + tech_6_4*TblTech[[#This Row],[6-4]] + tech_10_2*TblTech[[#This Row],[10-2]] - IF(TblMagic[[#This Row],[Active Mechanical Genius]]&gt;0,mech_genius_bonus,0) + race_rezone_cost) * TblRezone[[#This Row],[Plat/acre*]],0)</f>
        <v>322</v>
      </c>
      <c r="Y132" s="113">
        <f ca="1">TblRezone[[#This Row],[Total acres]]*TblRezone[[#This Row],[Plat/acre]]</f>
        <v>0</v>
      </c>
      <c r="Z132" s="281"/>
      <c r="AA132" s="113">
        <f ca="1">250+0.6*(TblRezone[[#This Row],[Land]]-250)</f>
        <v>460</v>
      </c>
      <c r="AB132" s="281"/>
      <c r="AC132" s="203">
        <f ca="1">TblConstr[[#This Row],[Facs DB]]</f>
        <v>7.4999999999999997E-2</v>
      </c>
    </row>
    <row r="133" spans="1:29" x14ac:dyDescent="0.2">
      <c r="A133" s="280">
        <f ca="1">TblConstr[[#This Row],[Land]]</f>
        <v>600</v>
      </c>
      <c r="B133" s="282">
        <f ca="1">TblConstr[[#This Row],[Plain]]</f>
        <v>0</v>
      </c>
      <c r="C133" s="236">
        <f ca="1">TblConstr[[#This Row],[Forest]]</f>
        <v>0</v>
      </c>
      <c r="D133" s="478">
        <f ca="1">TblConstr[[#This Row],[Mountain]]</f>
        <v>0</v>
      </c>
      <c r="E133" s="482">
        <f ca="1">TblConstr[[#This Row],[Hill]]</f>
        <v>0</v>
      </c>
      <c r="F133" s="486">
        <f ca="1">TblConstr[[#This Row],[Swamp]]</f>
        <v>0</v>
      </c>
      <c r="G133" s="239">
        <f ca="1">TblConstr[[#This Row],[Cavern]]</f>
        <v>0</v>
      </c>
      <c r="H133" s="240">
        <f ca="1">TblConstr[[#This Row],[Water]]</f>
        <v>0</v>
      </c>
      <c r="I133" s="281"/>
      <c r="J133" s="228">
        <f t="shared" si="3"/>
        <v>130</v>
      </c>
      <c r="K133" s="305">
        <f ca="1">TblImps[[#This Row],[Real time]]</f>
        <v>44410.124999999687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1883802</v>
      </c>
      <c r="W133" s="281"/>
      <c r="X133" s="113">
        <f ca="1">ROUNDUP( (1-MIN(ROUND(facs_rezone_factor*TblRezone[[#This Row],[Facs]],4),facs_rezone_max) + tech_6_4*TblTech[[#This Row],[6-4]] + tech_10_2*TblTech[[#This Row],[10-2]] - IF(TblMagic[[#This Row],[Active Mechanical Genius]]&gt;0,mech_genius_bonus,0) + race_rezone_cost) * TblRezone[[#This Row],[Plat/acre*]],0)</f>
        <v>322</v>
      </c>
      <c r="Y133" s="113">
        <f ca="1">TblRezone[[#This Row],[Total acres]]*TblRezone[[#This Row],[Plat/acre]]</f>
        <v>0</v>
      </c>
      <c r="Z133" s="281"/>
      <c r="AA133" s="113">
        <f ca="1">250+0.6*(TblRezone[[#This Row],[Land]]-250)</f>
        <v>460</v>
      </c>
      <c r="AB133" s="281"/>
      <c r="AC133" s="203">
        <f ca="1">TblConstr[[#This Row],[Facs DB]]</f>
        <v>7.4999999999999997E-2</v>
      </c>
    </row>
    <row r="134" spans="1:29" x14ac:dyDescent="0.2">
      <c r="A134" s="280">
        <f ca="1">TblConstr[[#This Row],[Land]]</f>
        <v>600</v>
      </c>
      <c r="B134" s="282">
        <f ca="1">TblConstr[[#This Row],[Plain]]</f>
        <v>0</v>
      </c>
      <c r="C134" s="236">
        <f ca="1">TblConstr[[#This Row],[Forest]]</f>
        <v>0</v>
      </c>
      <c r="D134" s="478">
        <f ca="1">TblConstr[[#This Row],[Mountain]]</f>
        <v>0</v>
      </c>
      <c r="E134" s="482">
        <f ca="1">TblConstr[[#This Row],[Hill]]</f>
        <v>0</v>
      </c>
      <c r="F134" s="486">
        <f ca="1">TblConstr[[#This Row],[Swamp]]</f>
        <v>0</v>
      </c>
      <c r="G134" s="239">
        <f ca="1">TblConstr[[#This Row],[Cavern]]</f>
        <v>0</v>
      </c>
      <c r="H134" s="240">
        <f ca="1">TblConstr[[#This Row],[Water]]</f>
        <v>0</v>
      </c>
      <c r="I134" s="281"/>
      <c r="J134" s="228">
        <f t="shared" si="3"/>
        <v>131</v>
      </c>
      <c r="K134" s="305">
        <f ca="1">TblImps[[#This Row],[Real time]]</f>
        <v>44410.166666666351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1906924</v>
      </c>
      <c r="W134" s="281"/>
      <c r="X134" s="113">
        <f ca="1">ROUNDUP( (1-MIN(ROUND(facs_rezone_factor*TblRezone[[#This Row],[Facs]],4),facs_rezone_max) + tech_6_4*TblTech[[#This Row],[6-4]] + tech_10_2*TblTech[[#This Row],[10-2]] - IF(TblMagic[[#This Row],[Active Mechanical Genius]]&gt;0,mech_genius_bonus,0) + race_rezone_cost) * TblRezone[[#This Row],[Plat/acre*]],0)</f>
        <v>322</v>
      </c>
      <c r="Y134" s="113">
        <f ca="1">TblRezone[[#This Row],[Total acres]]*TblRezone[[#This Row],[Plat/acre]]</f>
        <v>0</v>
      </c>
      <c r="Z134" s="281"/>
      <c r="AA134" s="113">
        <f ca="1">250+0.6*(TblRezone[[#This Row],[Land]]-250)</f>
        <v>460</v>
      </c>
      <c r="AB134" s="281"/>
      <c r="AC134" s="203">
        <f ca="1">TblConstr[[#This Row],[Facs DB]]</f>
        <v>7.4999999999999997E-2</v>
      </c>
    </row>
    <row r="135" spans="1:29" x14ac:dyDescent="0.2">
      <c r="A135" s="280">
        <f ca="1">TblConstr[[#This Row],[Land]]</f>
        <v>600</v>
      </c>
      <c r="B135" s="282">
        <f ca="1">TblConstr[[#This Row],[Plain]]</f>
        <v>0</v>
      </c>
      <c r="C135" s="236">
        <f ca="1">TblConstr[[#This Row],[Forest]]</f>
        <v>0</v>
      </c>
      <c r="D135" s="478">
        <f ca="1">TblConstr[[#This Row],[Mountain]]</f>
        <v>0</v>
      </c>
      <c r="E135" s="482">
        <f ca="1">TblConstr[[#This Row],[Hill]]</f>
        <v>0</v>
      </c>
      <c r="F135" s="486">
        <f ca="1">TblConstr[[#This Row],[Swamp]]</f>
        <v>0</v>
      </c>
      <c r="G135" s="239">
        <f ca="1">TblConstr[[#This Row],[Cavern]]</f>
        <v>0</v>
      </c>
      <c r="H135" s="240">
        <f ca="1">TblConstr[[#This Row],[Water]]</f>
        <v>0</v>
      </c>
      <c r="I135" s="281"/>
      <c r="J135" s="228">
        <f t="shared" si="3"/>
        <v>132</v>
      </c>
      <c r="K135" s="305">
        <f ca="1">TblImps[[#This Row],[Real time]]</f>
        <v>44410.208333333016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1929933</v>
      </c>
      <c r="W135" s="281"/>
      <c r="X135" s="113">
        <f ca="1">ROUNDUP( (1-MIN(ROUND(facs_rezone_factor*TblRezone[[#This Row],[Facs]],4),facs_rezone_max) + tech_6_4*TblTech[[#This Row],[6-4]] + tech_10_2*TblTech[[#This Row],[10-2]] - IF(TblMagic[[#This Row],[Active Mechanical Genius]]&gt;0,mech_genius_bonus,0) + race_rezone_cost) * TblRezone[[#This Row],[Plat/acre*]],0)</f>
        <v>322</v>
      </c>
      <c r="Y135" s="113">
        <f ca="1">TblRezone[[#This Row],[Total acres]]*TblRezone[[#This Row],[Plat/acre]]</f>
        <v>0</v>
      </c>
      <c r="Z135" s="281"/>
      <c r="AA135" s="113">
        <f ca="1">250+0.6*(TblRezone[[#This Row],[Land]]-250)</f>
        <v>460</v>
      </c>
      <c r="AB135" s="281"/>
      <c r="AC135" s="203">
        <f ca="1">TblConstr[[#This Row],[Facs DB]]</f>
        <v>7.4999999999999997E-2</v>
      </c>
    </row>
    <row r="136" spans="1:29" x14ac:dyDescent="0.2">
      <c r="A136" s="280">
        <f ca="1">TblConstr[[#This Row],[Land]]</f>
        <v>600</v>
      </c>
      <c r="B136" s="282">
        <f ca="1">TblConstr[[#This Row],[Plain]]</f>
        <v>0</v>
      </c>
      <c r="C136" s="236">
        <f ca="1">TblConstr[[#This Row],[Forest]]</f>
        <v>0</v>
      </c>
      <c r="D136" s="478">
        <f ca="1">TblConstr[[#This Row],[Mountain]]</f>
        <v>0</v>
      </c>
      <c r="E136" s="482">
        <f ca="1">TblConstr[[#This Row],[Hill]]</f>
        <v>0</v>
      </c>
      <c r="F136" s="486">
        <f ca="1">TblConstr[[#This Row],[Swamp]]</f>
        <v>0</v>
      </c>
      <c r="G136" s="239">
        <f ca="1">TblConstr[[#This Row],[Cavern]]</f>
        <v>0</v>
      </c>
      <c r="H136" s="240">
        <f ca="1">TblConstr[[#This Row],[Water]]</f>
        <v>0</v>
      </c>
      <c r="I136" s="281"/>
      <c r="J136" s="228">
        <f t="shared" si="3"/>
        <v>133</v>
      </c>
      <c r="K136" s="305">
        <f ca="1">TblImps[[#This Row],[Real time]]</f>
        <v>44410.24999999968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1952831</v>
      </c>
      <c r="W136" s="281"/>
      <c r="X136" s="113">
        <f ca="1">ROUNDUP( (1-MIN(ROUND(facs_rezone_factor*TblRezone[[#This Row],[Facs]],4),facs_rezone_max) + tech_6_4*TblTech[[#This Row],[6-4]] + tech_10_2*TblTech[[#This Row],[10-2]] - IF(TblMagic[[#This Row],[Active Mechanical Genius]]&gt;0,mech_genius_bonus,0) + race_rezone_cost) * TblRezone[[#This Row],[Plat/acre*]],0)</f>
        <v>322</v>
      </c>
      <c r="Y136" s="113">
        <f ca="1">TblRezone[[#This Row],[Total acres]]*TblRezone[[#This Row],[Plat/acre]]</f>
        <v>0</v>
      </c>
      <c r="Z136" s="281"/>
      <c r="AA136" s="113">
        <f ca="1">250+0.6*(TblRezone[[#This Row],[Land]]-250)</f>
        <v>460</v>
      </c>
      <c r="AB136" s="281"/>
      <c r="AC136" s="203">
        <f ca="1">TblConstr[[#This Row],[Facs DB]]</f>
        <v>7.4999999999999997E-2</v>
      </c>
    </row>
    <row r="1269" spans="1:18" x14ac:dyDescent="0.2">
      <c r="A1269" s="585" t="s">
        <v>327</v>
      </c>
      <c r="B1269" s="585"/>
      <c r="I1269" s="308" t="s">
        <v>317</v>
      </c>
      <c r="L1269" s="309"/>
      <c r="M1269" s="309">
        <v>-10</v>
      </c>
      <c r="N1269" s="309">
        <v>10</v>
      </c>
      <c r="O1269" s="309"/>
      <c r="P1269" s="309"/>
      <c r="Q1269" s="309"/>
      <c r="R1269" s="309"/>
    </row>
    <row r="1270" spans="1:18" x14ac:dyDescent="0.2">
      <c r="A1270" s="174">
        <f>Overview!E17</f>
        <v>0</v>
      </c>
      <c r="B1270" s="174"/>
      <c r="L1270" s="594" t="s">
        <v>316</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3" priority="14" stopIfTrue="1">
      <formula>ROW()-2=#REF!</formula>
    </cfRule>
  </conditionalFormatting>
  <conditionalFormatting sqref="A1269:AC1270">
    <cfRule type="expression" dxfId="422" priority="15" stopIfTrue="1">
      <formula>$A$1270&gt;144</formula>
    </cfRule>
  </conditionalFormatting>
  <conditionalFormatting sqref="A1:AC3">
    <cfRule type="expression" dxfId="421" priority="19" stopIfTrue="1">
      <formula>$A$1270&lt;0</formula>
    </cfRule>
  </conditionalFormatting>
  <conditionalFormatting sqref="A4:AC136">
    <cfRule type="expression" dxfId="420" priority="1" stopIfTrue="1">
      <formula>ROW()-3=$A$1270</formula>
    </cfRule>
    <cfRule type="expression" dxfId="419" priority="2" stopIfTrue="1">
      <formula>OR(AND(ROW()-3=$A$1270,A4="Ok",XFD4&lt;&gt;0),A4="Nope")</formula>
    </cfRule>
    <cfRule type="expression" dxfId="418" priority="4">
      <formula>$J4=73</formula>
    </cfRule>
    <cfRule type="expression" dxfId="417" priority="7">
      <formula>ROUND(($J4-1)/12,0)=INT($J4-1)/12</formula>
    </cfRule>
  </conditionalFormatting>
  <conditionalFormatting sqref="T76">
    <cfRule type="expression" dxfId="416" priority="13" stopIfTrue="1">
      <formula>S76=0</formula>
    </cfRule>
  </conditionalFormatting>
  <conditionalFormatting sqref="B4:H136">
    <cfRule type="cellIs" dxfId="415" priority="8" operator="lessThan">
      <formula>0</formula>
    </cfRule>
  </conditionalFormatting>
  <pageMargins left="0.75" right="0.75" top="1" bottom="1" header="0.5" footer="0.5"/>
  <pageSetup paperSize="9" orientation="portrait" horizontalDpi="300" verticalDpi="300" r:id="rId1"/>
  <headerFooter alignWithMargins="0"/>
  <drawing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AF71" sqref="AF71"/>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487</v>
      </c>
      <c r="S1" s="586"/>
      <c r="T1" s="310"/>
      <c r="U1" s="586" t="s">
        <v>488</v>
      </c>
      <c r="V1" s="586"/>
      <c r="W1" s="90"/>
      <c r="X1" s="586" t="s">
        <v>24</v>
      </c>
      <c r="Y1" s="586"/>
      <c r="Z1" s="586"/>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6" t="s">
        <v>505</v>
      </c>
      <c r="BG1" s="586"/>
      <c r="BH1" s="586"/>
      <c r="BI1" s="586"/>
      <c r="BJ1" s="586"/>
      <c r="BK1" s="586"/>
      <c r="BL1" s="586"/>
      <c r="BM1" s="586"/>
      <c r="BN1" s="587"/>
      <c r="BO1" s="587"/>
      <c r="BP1" s="587"/>
      <c r="BQ1" s="90"/>
      <c r="BR1" s="592" t="s">
        <v>309</v>
      </c>
      <c r="BS1" s="595"/>
      <c r="BT1" s="595"/>
      <c r="BU1" s="174"/>
      <c r="BV1" s="174"/>
      <c r="BW1" s="276"/>
      <c r="BX1" s="276"/>
      <c r="BY1" s="174"/>
      <c r="BZ1" s="174"/>
      <c r="CA1" s="174"/>
      <c r="CB1" s="174"/>
      <c r="CC1" s="174"/>
      <c r="CD1" s="174"/>
      <c r="CE1" s="174"/>
      <c r="CF1" s="174"/>
      <c r="CG1" s="90"/>
      <c r="CH1" s="90"/>
      <c r="CI1" s="90"/>
      <c r="CJ1" s="586" t="s">
        <v>323</v>
      </c>
      <c r="CK1" s="586"/>
      <c r="CL1" s="586"/>
      <c r="CM1" s="587"/>
      <c r="CN1" s="587"/>
      <c r="CO1" s="587"/>
      <c r="CP1" s="587"/>
      <c r="CQ1" s="587"/>
      <c r="CR1" s="587"/>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5700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 s="319">
        <f ca="1">TblMili[[#This Row],[Non Draft]]+TblMili[[#This Row],[Draftees]]</f>
        <v>250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0</v>
      </c>
      <c r="V4" s="319">
        <f ca="1">TblMili[[#This Row],[Draft]] * (1 + TblMili[[#This Row],[Mods_Def]])</f>
        <v>250</v>
      </c>
      <c r="W4" s="319">
        <f ca="1">TblConstr[[#This Row],[Land]]</f>
        <v>250</v>
      </c>
      <c r="X4" s="322">
        <v>0.9</v>
      </c>
      <c r="Y4" s="327">
        <f>IF(TblMili[[#This Row],[Set]]&lt;&gt;"",TblMili[[#This Row],[Set]],0.35)</f>
        <v>0.9</v>
      </c>
      <c r="Z4" s="497">
        <f ca="1">start_draftees - SUM(TblMili[[#This Row],[Train Unit 1]:[Train Wiz]]) - TblMili[[#This Row],[Release Draft]] + SUM(TblMili[[#This Row],[Release Unit 1]:[Release Arch]]) - TblExplore[[#This Row],[Draftees (2)]]+MIN(13,days_late)*days_late_draftees</f>
        <v>250</v>
      </c>
      <c r="AA4" s="200"/>
      <c r="AB4" s="234">
        <f ca="1">(TblConstr[[#This Row],[Tot Smi]]+TblConstr[[#This Row],[Dest Smi]])/(TblConstr[[#This Row],[Land]]-TblExplore[[#This Row],[Land Bonus]]*20)</f>
        <v>0</v>
      </c>
      <c r="AC4" s="318"/>
      <c r="AD4" s="318">
        <f>TblMili[[#This Row],[Hour]]</f>
        <v>1</v>
      </c>
      <c r="AE4" s="179">
        <f>TblExplore[[#This Row],[Time]]</f>
        <v>44404.75</v>
      </c>
      <c r="AF4" s="232"/>
      <c r="AG4" s="232"/>
      <c r="AH4" s="232"/>
      <c r="AI4" s="232"/>
      <c r="AJ4" s="232"/>
      <c r="AK4" s="232"/>
      <c r="AL4" s="232"/>
      <c r="AM4" s="184"/>
      <c r="AN4" s="113">
        <f ca="1">TblProd[[#This Row],[Platinum]]</f>
        <v>42000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44404.75</v>
      </c>
      <c r="AT4" s="113">
        <f ca="1">TblMili[[#This Row],[Draftees]]</f>
        <v>250</v>
      </c>
      <c r="AU4" s="204"/>
      <c r="AV4" s="232"/>
      <c r="AW4" s="232">
        <v>150</v>
      </c>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5700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 s="319">
        <f ca="1">TblMili[[#This Row],[Non Draft]]+TblMili[[#This Row],[Draftees]]</f>
        <v>263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0</v>
      </c>
      <c r="V5" s="319">
        <f ca="1">TblMili[[#This Row],[Draft]] * (1 + TblMili[[#This Row],[Mods_Def]])</f>
        <v>263</v>
      </c>
      <c r="W5" s="319">
        <f ca="1">TblConstr[[#This Row],[Land]]</f>
        <v>250</v>
      </c>
      <c r="X5" s="322"/>
      <c r="Y5" s="327">
        <f ca="1">IF(TblMili[[#This Row],[Set]]&lt;&gt;"",TblMili[[#This Row],[Set]],OFFSET(TblMili[[#This Row],[Draftrate]],-1,0))</f>
        <v>0.9</v>
      </c>
      <c r="Z5" s="113">
        <f ca="1">OFFSET(TblMili[[#This Row],[Draftees]],-1,0)+OFFSET(TblPop[[#This Row],[Draft Growth]],-1,0) - SUM(TblMili[[#This Row],[Train Unit 1]:[Train Wiz]]) - TblMili[[#This Row],[Release Draft]] + SUM(TblMili[[#This Row],[Release Unit 1]:[Release Arch]]) -TblExplore[[#This Row],[Draftees (2)]]</f>
        <v>263</v>
      </c>
      <c r="AA5" s="200"/>
      <c r="AB5" s="234">
        <f ca="1">(TblConstr[[#This Row],[Tot Smi]]+TblConstr[[#This Row],[Dest Smi]])/(TblConstr[[#This Row],[Land]]-TblExplore[[#This Row],[Land Bonus]]*20)</f>
        <v>0</v>
      </c>
      <c r="AC5" s="178"/>
      <c r="AD5" s="318">
        <f>TblMili[[#This Row],[Hour]]</f>
        <v>2</v>
      </c>
      <c r="AE5" s="179">
        <f ca="1">TblExplore[[#This Row],[Time]]</f>
        <v>44404.791666666664</v>
      </c>
      <c r="AF5" s="232"/>
      <c r="AG5" s="232"/>
      <c r="AH5" s="232"/>
      <c r="AI5" s="232"/>
      <c r="AJ5" s="232"/>
      <c r="AK5" s="232"/>
      <c r="AL5" s="232"/>
      <c r="AM5" s="184"/>
      <c r="AN5" s="113">
        <f ca="1">TblProd[[#This Row],[Platinum]]</f>
        <v>46860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44404.791666666664</v>
      </c>
      <c r="AT5" s="113">
        <f ca="1">TblMili[[#This Row],[Draftees]]</f>
        <v>263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5700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 s="319">
        <f ca="1">TblMili[[#This Row],[Non Draft]]+TblMili[[#This Row],[Draftees]]</f>
        <v>276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0</v>
      </c>
      <c r="V6" s="319">
        <f ca="1">TblMili[[#This Row],[Draft]] * (1 + TblMili[[#This Row],[Mods_Def]])</f>
        <v>276</v>
      </c>
      <c r="W6" s="319">
        <f ca="1">TblConstr[[#This Row],[Land]]</f>
        <v>250</v>
      </c>
      <c r="X6" s="322"/>
      <c r="Y6" s="327">
        <f ca="1">IF(TblMili[[#This Row],[Set]]&lt;&gt;"",TblMili[[#This Row],[Set]],OFFSET(TblMili[[#This Row],[Draftrate]],-1,0))</f>
        <v>0.9</v>
      </c>
      <c r="Z6" s="113">
        <f ca="1">OFFSET(TblMili[[#This Row],[Draftees]],-1,0)+OFFSET(TblPop[[#This Row],[Draft Growth]],-1,0) - SUM(TblMili[[#This Row],[Train Unit 1]:[Train Wiz]]) - TblMili[[#This Row],[Release Draft]] + SUM(TblMili[[#This Row],[Release Unit 1]:[Release Arch]]) -TblExplore[[#This Row],[Draftees (2)]]</f>
        <v>276</v>
      </c>
      <c r="AA6" s="200"/>
      <c r="AB6" s="234">
        <f ca="1">(TblConstr[[#This Row],[Tot Smi]]+TblConstr[[#This Row],[Dest Smi]])/(TblConstr[[#This Row],[Land]]-TblExplore[[#This Row],[Land Bonus]]*20)</f>
        <v>0</v>
      </c>
      <c r="AC6" s="178"/>
      <c r="AD6" s="318">
        <f>TblMili[[#This Row],[Hour]]</f>
        <v>3</v>
      </c>
      <c r="AE6" s="179">
        <f ca="1">TblExplore[[#This Row],[Time]]</f>
        <v>44404.833333333328</v>
      </c>
      <c r="AF6" s="232"/>
      <c r="AG6" s="232"/>
      <c r="AH6" s="232"/>
      <c r="AI6" s="232"/>
      <c r="AJ6" s="232"/>
      <c r="AK6" s="232"/>
      <c r="AL6" s="232"/>
      <c r="AM6" s="184"/>
      <c r="AN6" s="113">
        <f ca="1">TblProd[[#This Row],[Platinum]]</f>
        <v>51790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44404.833333333328</v>
      </c>
      <c r="AT6" s="113">
        <f ca="1">TblMili[[#This Row],[Draftees]]</f>
        <v>276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5700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 s="319">
        <f ca="1">TblMili[[#This Row],[Non Draft]]+TblMili[[#This Row],[Draftees]]</f>
        <v>290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0</v>
      </c>
      <c r="V7" s="319">
        <f ca="1">TblMili[[#This Row],[Draft]] * (1 + TblMili[[#This Row],[Mods_Def]])</f>
        <v>290</v>
      </c>
      <c r="W7" s="319">
        <f ca="1">TblConstr[[#This Row],[Land]]</f>
        <v>250</v>
      </c>
      <c r="X7" s="322"/>
      <c r="Y7" s="327">
        <f ca="1">IF(TblMili[[#This Row],[Set]]&lt;&gt;"",TblMili[[#This Row],[Set]],OFFSET(TblMili[[#This Row],[Draftrate]],-1,0))</f>
        <v>0.9</v>
      </c>
      <c r="Z7" s="113">
        <f ca="1">OFFSET(TblMili[[#This Row],[Draftees]],-1,0)+OFFSET(TblPop[[#This Row],[Draft Growth]],-1,0) - SUM(TblMili[[#This Row],[Train Unit 1]:[Train Wiz]]) - TblMili[[#This Row],[Release Draft]] + SUM(TblMili[[#This Row],[Release Unit 1]:[Release Arch]]) -TblExplore[[#This Row],[Draftees (2)]]</f>
        <v>290</v>
      </c>
      <c r="AA7" s="200"/>
      <c r="AB7" s="234">
        <f ca="1">(TblConstr[[#This Row],[Tot Smi]]+TblConstr[[#This Row],[Dest Smi]])/(TblConstr[[#This Row],[Land]]-TblExplore[[#This Row],[Land Bonus]]*20)</f>
        <v>0</v>
      </c>
      <c r="AC7" s="178"/>
      <c r="AD7" s="318">
        <f>TblMili[[#This Row],[Hour]]</f>
        <v>4</v>
      </c>
      <c r="AE7" s="179">
        <f ca="1">TblExplore[[#This Row],[Time]]</f>
        <v>44404.874999999993</v>
      </c>
      <c r="AF7" s="232"/>
      <c r="AG7" s="232"/>
      <c r="AH7" s="232"/>
      <c r="AI7" s="232"/>
      <c r="AJ7" s="232"/>
      <c r="AK7" s="232"/>
      <c r="AL7" s="232"/>
      <c r="AM7" s="184"/>
      <c r="AN7" s="113">
        <f ca="1">TblProd[[#This Row],[Platinum]]</f>
        <v>56790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44404.874999999993</v>
      </c>
      <c r="AT7" s="113">
        <f ca="1">TblMili[[#This Row],[Draftees]]</f>
        <v>290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5700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8" s="319">
        <f ca="1">TblMili[[#This Row],[Non Draft]]+TblMili[[#This Row],[Draftees]]</f>
        <v>304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0</v>
      </c>
      <c r="V8" s="319">
        <f ca="1">TblMili[[#This Row],[Draft]] * (1 + TblMili[[#This Row],[Mods_Def]])</f>
        <v>304</v>
      </c>
      <c r="W8" s="319">
        <f ca="1">TblConstr[[#This Row],[Land]]</f>
        <v>250</v>
      </c>
      <c r="X8" s="322"/>
      <c r="Y8" s="327">
        <f ca="1">IF(TblMili[[#This Row],[Set]]&lt;&gt;"",TblMili[[#This Row],[Set]],OFFSET(TblMili[[#This Row],[Draftrate]],-1,0))</f>
        <v>0.9</v>
      </c>
      <c r="Z8" s="113">
        <f ca="1">OFFSET(TblMili[[#This Row],[Draftees]],-1,0)+OFFSET(TblPop[[#This Row],[Draft Growth]],-1,0) - SUM(TblMili[[#This Row],[Train Unit 1]:[Train Wiz]]) - TblMili[[#This Row],[Release Draft]] + SUM(TblMili[[#This Row],[Release Unit 1]:[Release Arch]]) -TblExplore[[#This Row],[Draftees (2)]]</f>
        <v>304</v>
      </c>
      <c r="AA8" s="200"/>
      <c r="AB8" s="234">
        <f ca="1">(TblConstr[[#This Row],[Tot Smi]]+TblConstr[[#This Row],[Dest Smi]])/(TblConstr[[#This Row],[Land]]-TblExplore[[#This Row],[Land Bonus]]*20)</f>
        <v>0</v>
      </c>
      <c r="AC8" s="178"/>
      <c r="AD8" s="318">
        <f>TblMili[[#This Row],[Hour]]</f>
        <v>5</v>
      </c>
      <c r="AE8" s="179">
        <f ca="1">TblExplore[[#This Row],[Time]]</f>
        <v>44404.916666666657</v>
      </c>
      <c r="AF8" s="232"/>
      <c r="AG8" s="232"/>
      <c r="AH8" s="232"/>
      <c r="AI8" s="232"/>
      <c r="AJ8" s="232"/>
      <c r="AK8" s="232"/>
      <c r="AL8" s="232"/>
      <c r="AM8" s="184"/>
      <c r="AN8" s="113">
        <f ca="1">TblProd[[#This Row],[Platinum]]</f>
        <v>61860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44404.916666666657</v>
      </c>
      <c r="AT8" s="113">
        <f ca="1">TblMili[[#This Row],[Draftees]]</f>
        <v>304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5700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9" s="319">
        <f ca="1">TblMili[[#This Row],[Non Draft]]+TblMili[[#This Row],[Draftees]]</f>
        <v>318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0</v>
      </c>
      <c r="V9" s="319">
        <f ca="1">TblMili[[#This Row],[Draft]] * (1 + TblMili[[#This Row],[Mods_Def]])</f>
        <v>318</v>
      </c>
      <c r="W9" s="319">
        <f ca="1">TblConstr[[#This Row],[Land]]</f>
        <v>250</v>
      </c>
      <c r="X9" s="322"/>
      <c r="Y9" s="327">
        <f ca="1">IF(TblMili[[#This Row],[Set]]&lt;&gt;"",TblMili[[#This Row],[Set]],OFFSET(TblMili[[#This Row],[Draftrate]],-1,0))</f>
        <v>0.9</v>
      </c>
      <c r="Z9" s="113">
        <f ca="1">OFFSET(TblMili[[#This Row],[Draftees]],-1,0)+OFFSET(TblPop[[#This Row],[Draft Growth]],-1,0) - SUM(TblMili[[#This Row],[Train Unit 1]:[Train Wiz]]) - TblMili[[#This Row],[Release Draft]] + SUM(TblMili[[#This Row],[Release Unit 1]:[Release Arch]]) -TblExplore[[#This Row],[Draftees (2)]]</f>
        <v>318</v>
      </c>
      <c r="AA9" s="200"/>
      <c r="AB9" s="234">
        <f ca="1">(TblConstr[[#This Row],[Tot Smi]]+TblConstr[[#This Row],[Dest Smi]])/(TblConstr[[#This Row],[Land]]-TblExplore[[#This Row],[Land Bonus]]*20)</f>
        <v>0</v>
      </c>
      <c r="AC9" s="178"/>
      <c r="AD9" s="318">
        <f>TblMili[[#This Row],[Hour]]</f>
        <v>6</v>
      </c>
      <c r="AE9" s="179">
        <f ca="1">TblExplore[[#This Row],[Time]]</f>
        <v>44404.958333333321</v>
      </c>
      <c r="AF9" s="232"/>
      <c r="AG9" s="232"/>
      <c r="AH9" s="232"/>
      <c r="AI9" s="232"/>
      <c r="AJ9" s="232"/>
      <c r="AK9" s="232"/>
      <c r="AL9" s="232"/>
      <c r="AM9" s="184"/>
      <c r="AN9" s="113">
        <f ca="1">TblProd[[#This Row],[Platinum]]</f>
        <v>67003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44404.958333333321</v>
      </c>
      <c r="AT9" s="113">
        <f ca="1">TblMili[[#This Row],[Draftees]]</f>
        <v>318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5700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0" s="319">
        <f ca="1">TblMili[[#This Row],[Non Draft]]+TblMili[[#This Row],[Draftees]]</f>
        <v>332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0</v>
      </c>
      <c r="V10" s="319">
        <f ca="1">TblMili[[#This Row],[Draft]] * (1 + TblMili[[#This Row],[Mods_Def]])</f>
        <v>332</v>
      </c>
      <c r="W10" s="319">
        <f ca="1">TblConstr[[#This Row],[Land]]</f>
        <v>250</v>
      </c>
      <c r="X10" s="322"/>
      <c r="Y10" s="327">
        <f ca="1">IF(TblMili[[#This Row],[Set]]&lt;&gt;"",TblMili[[#This Row],[Set]],OFFSET(TblMili[[#This Row],[Draftrate]],-1,0))</f>
        <v>0.9</v>
      </c>
      <c r="Z10" s="113">
        <f ca="1">OFFSET(TblMili[[#This Row],[Draftees]],-1,0)+OFFSET(TblPop[[#This Row],[Draft Growth]],-1,0) - SUM(TblMili[[#This Row],[Train Unit 1]:[Train Wiz]]) - TblMili[[#This Row],[Release Draft]] + SUM(TblMili[[#This Row],[Release Unit 1]:[Release Arch]]) -TblExplore[[#This Row],[Draftees (2)]]</f>
        <v>332</v>
      </c>
      <c r="AA10" s="200"/>
      <c r="AB10" s="234">
        <f ca="1">(TblConstr[[#This Row],[Tot Smi]]+TblConstr[[#This Row],[Dest Smi]])/(TblConstr[[#This Row],[Land]]-TblExplore[[#This Row],[Land Bonus]]*20)</f>
        <v>0</v>
      </c>
      <c r="AC10" s="178"/>
      <c r="AD10" s="318">
        <f>TblMili[[#This Row],[Hour]]</f>
        <v>7</v>
      </c>
      <c r="AE10" s="179">
        <f ca="1">TblExplore[[#This Row],[Time]]</f>
        <v>44404.999999999985</v>
      </c>
      <c r="AF10" s="232"/>
      <c r="AG10" s="232"/>
      <c r="AH10" s="232"/>
      <c r="AI10" s="232"/>
      <c r="AJ10" s="232"/>
      <c r="AK10" s="232"/>
      <c r="AL10" s="232"/>
      <c r="AM10" s="184"/>
      <c r="AN10" s="113">
        <f ca="1">TblProd[[#This Row],[Platinum]]</f>
        <v>72222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44404.999999999985</v>
      </c>
      <c r="AT10" s="113">
        <f ca="1">TblMili[[#This Row],[Draftees]]</f>
        <v>332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5700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1" s="319">
        <f ca="1">TblMili[[#This Row],[Non Draft]]+TblMili[[#This Row],[Draftees]]</f>
        <v>347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0</v>
      </c>
      <c r="V11" s="319">
        <f ca="1">TblMili[[#This Row],[Draft]] * (1 + TblMili[[#This Row],[Mods_Def]])</f>
        <v>347</v>
      </c>
      <c r="W11" s="319">
        <f ca="1">TblConstr[[#This Row],[Land]]</f>
        <v>250</v>
      </c>
      <c r="X11" s="322"/>
      <c r="Y11" s="327">
        <f ca="1">IF(TblMili[[#This Row],[Set]]&lt;&gt;"",TblMili[[#This Row],[Set]],OFFSET(TblMili[[#This Row],[Draftrate]],-1,0))</f>
        <v>0.9</v>
      </c>
      <c r="Z11" s="113">
        <f ca="1">OFFSET(TblMili[[#This Row],[Draftees]],-1,0)+OFFSET(TblPop[[#This Row],[Draft Growth]],-1,0) - SUM(TblMili[[#This Row],[Train Unit 1]:[Train Wiz]]) - TblMili[[#This Row],[Release Draft]] + SUM(TblMili[[#This Row],[Release Unit 1]:[Release Arch]]) -TblExplore[[#This Row],[Draftees (2)]]</f>
        <v>347</v>
      </c>
      <c r="AA11" s="200"/>
      <c r="AB11" s="234">
        <f ca="1">(TblConstr[[#This Row],[Tot Smi]]+TblConstr[[#This Row],[Dest Smi]])/(TblConstr[[#This Row],[Land]]-TblExplore[[#This Row],[Land Bonus]]*20)</f>
        <v>0</v>
      </c>
      <c r="AC11" s="178"/>
      <c r="AD11" s="318">
        <f>TblMili[[#This Row],[Hour]]</f>
        <v>8</v>
      </c>
      <c r="AE11" s="179">
        <f ca="1">TblExplore[[#This Row],[Time]]</f>
        <v>44405.04166666665</v>
      </c>
      <c r="AF11" s="232"/>
      <c r="AG11" s="232"/>
      <c r="AH11" s="232"/>
      <c r="AI11" s="232"/>
      <c r="AJ11" s="232"/>
      <c r="AK11" s="232"/>
      <c r="AL11" s="232"/>
      <c r="AM11" s="184"/>
      <c r="AN11" s="113">
        <f ca="1">TblProd[[#This Row],[Platinum]]</f>
        <v>77519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44405.04166666665</v>
      </c>
      <c r="AT11" s="113">
        <f ca="1">TblMili[[#This Row],[Draftees]]</f>
        <v>347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5700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2" s="319">
        <f ca="1">TblMili[[#This Row],[Non Draft]]+TblMili[[#This Row],[Draftees]]</f>
        <v>362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0</v>
      </c>
      <c r="V12" s="319">
        <f ca="1">TblMili[[#This Row],[Draft]] * (1 + TblMili[[#This Row],[Mods_Def]])</f>
        <v>362</v>
      </c>
      <c r="W12" s="319">
        <f ca="1">TblConstr[[#This Row],[Land]]</f>
        <v>250</v>
      </c>
      <c r="X12" s="322"/>
      <c r="Y12" s="327">
        <f ca="1">IF(TblMili[[#This Row],[Set]]&lt;&gt;"",TblMili[[#This Row],[Set]],OFFSET(TblMili[[#This Row],[Draftrate]],-1,0))</f>
        <v>0.9</v>
      </c>
      <c r="Z12" s="113">
        <f ca="1">OFFSET(TblMili[[#This Row],[Draftees]],-1,0)+OFFSET(TblPop[[#This Row],[Draft Growth]],-1,0) - SUM(TblMili[[#This Row],[Train Unit 1]:[Train Wiz]]) - TblMili[[#This Row],[Release Draft]] + SUM(TblMili[[#This Row],[Release Unit 1]:[Release Arch]]) -TblExplore[[#This Row],[Draftees (2)]]</f>
        <v>362</v>
      </c>
      <c r="AA12" s="200"/>
      <c r="AB12" s="234">
        <f ca="1">(TblConstr[[#This Row],[Tot Smi]]+TblConstr[[#This Row],[Dest Smi]])/(TblConstr[[#This Row],[Land]]-TblExplore[[#This Row],[Land Bonus]]*20)</f>
        <v>0</v>
      </c>
      <c r="AC12" s="178"/>
      <c r="AD12" s="318">
        <f>TblMili[[#This Row],[Hour]]</f>
        <v>9</v>
      </c>
      <c r="AE12" s="179">
        <f ca="1">TblExplore[[#This Row],[Time]]</f>
        <v>44405.083333333314</v>
      </c>
      <c r="AF12" s="232"/>
      <c r="AG12" s="232"/>
      <c r="AH12" s="232"/>
      <c r="AI12" s="232"/>
      <c r="AJ12" s="232"/>
      <c r="AK12" s="232"/>
      <c r="AL12" s="232"/>
      <c r="AM12" s="184"/>
      <c r="AN12" s="113">
        <f ca="1">TblProd[[#This Row],[Platinum]]</f>
        <v>82892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44405.083333333314</v>
      </c>
      <c r="AT12" s="113">
        <f ca="1">TblMili[[#This Row],[Draftees]]</f>
        <v>362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5700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3" s="319">
        <f ca="1">TblMili[[#This Row],[Non Draft]]+TblMili[[#This Row],[Draftees]]</f>
        <v>377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0</v>
      </c>
      <c r="V13" s="319">
        <f ca="1">TblMili[[#This Row],[Draft]] * (1 + TblMili[[#This Row],[Mods_Def]])</f>
        <v>377</v>
      </c>
      <c r="W13" s="319">
        <f ca="1">TblConstr[[#This Row],[Land]]</f>
        <v>250</v>
      </c>
      <c r="X13" s="322"/>
      <c r="Y13" s="327">
        <f ca="1">IF(TblMili[[#This Row],[Set]]&lt;&gt;"",TblMili[[#This Row],[Set]],OFFSET(TblMili[[#This Row],[Draftrate]],-1,0))</f>
        <v>0.9</v>
      </c>
      <c r="Z13" s="113">
        <f ca="1">OFFSET(TblMili[[#This Row],[Draftees]],-1,0)+OFFSET(TblPop[[#This Row],[Draft Growth]],-1,0) - SUM(TblMili[[#This Row],[Train Unit 1]:[Train Wiz]]) - TblMili[[#This Row],[Release Draft]] + SUM(TblMili[[#This Row],[Release Unit 1]:[Release Arch]]) -TblExplore[[#This Row],[Draftees (2)]]</f>
        <v>377</v>
      </c>
      <c r="AA13" s="200"/>
      <c r="AB13" s="234">
        <f ca="1">(TblConstr[[#This Row],[Tot Smi]]+TblConstr[[#This Row],[Dest Smi]])/(TblConstr[[#This Row],[Land]]-TblExplore[[#This Row],[Land Bonus]]*20)</f>
        <v>0</v>
      </c>
      <c r="AC13" s="178"/>
      <c r="AD13" s="318">
        <f>TblMili[[#This Row],[Hour]]</f>
        <v>10</v>
      </c>
      <c r="AE13" s="179">
        <f ca="1">TblExplore[[#This Row],[Time]]</f>
        <v>44405.124999999978</v>
      </c>
      <c r="AF13" s="232"/>
      <c r="AG13" s="232"/>
      <c r="AH13" s="232"/>
      <c r="AI13" s="232"/>
      <c r="AJ13" s="232"/>
      <c r="AK13" s="232"/>
      <c r="AL13" s="232"/>
      <c r="AM13" s="184"/>
      <c r="AN13" s="113">
        <f ca="1">TblProd[[#This Row],[Platinum]]</f>
        <v>88343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44405.124999999978</v>
      </c>
      <c r="AT13" s="113">
        <f ca="1">TblMili[[#This Row],[Draftees]]</f>
        <v>377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5700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4" s="319">
        <f ca="1">TblMili[[#This Row],[Non Draft]]+TblMili[[#This Row],[Draftees]]</f>
        <v>392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0</v>
      </c>
      <c r="V14" s="319">
        <f ca="1">TblMili[[#This Row],[Draft]] * (1 + TblMili[[#This Row],[Mods_Def]])</f>
        <v>392</v>
      </c>
      <c r="W14" s="319">
        <f ca="1">TblConstr[[#This Row],[Land]]</f>
        <v>250</v>
      </c>
      <c r="X14" s="322"/>
      <c r="Y14" s="327">
        <f ca="1">IF(TblMili[[#This Row],[Set]]&lt;&gt;"",TblMili[[#This Row],[Set]],OFFSET(TblMili[[#This Row],[Draftrate]],-1,0))</f>
        <v>0.9</v>
      </c>
      <c r="Z14" s="113">
        <f ca="1">OFFSET(TblMili[[#This Row],[Draftees]],-1,0)+OFFSET(TblPop[[#This Row],[Draft Growth]],-1,0) - SUM(TblMili[[#This Row],[Train Unit 1]:[Train Wiz]]) - TblMili[[#This Row],[Release Draft]] + SUM(TblMili[[#This Row],[Release Unit 1]:[Release Arch]]) -TblExplore[[#This Row],[Draftees (2)]]</f>
        <v>392</v>
      </c>
      <c r="AA14" s="200"/>
      <c r="AB14" s="234">
        <f ca="1">(TblConstr[[#This Row],[Tot Smi]]+TblConstr[[#This Row],[Dest Smi]])/(TblConstr[[#This Row],[Land]]-TblExplore[[#This Row],[Land Bonus]]*20)</f>
        <v>0</v>
      </c>
      <c r="AC14" s="178"/>
      <c r="AD14" s="318">
        <f>TblMili[[#This Row],[Hour]]</f>
        <v>11</v>
      </c>
      <c r="AE14" s="179">
        <f ca="1">TblExplore[[#This Row],[Time]]</f>
        <v>44405.166666666642</v>
      </c>
      <c r="AF14" s="232"/>
      <c r="AG14" s="232"/>
      <c r="AH14" s="232"/>
      <c r="AI14" s="232"/>
      <c r="AJ14" s="232"/>
      <c r="AK14" s="232"/>
      <c r="AL14" s="232"/>
      <c r="AM14" s="184"/>
      <c r="AN14" s="113">
        <f ca="1">TblProd[[#This Row],[Platinum]]</f>
        <v>93875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44405.166666666642</v>
      </c>
      <c r="AT14" s="113">
        <f ca="1">TblMili[[#This Row],[Draftees]]</f>
        <v>392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5700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5" s="319">
        <f ca="1">TblMili[[#This Row],[Non Draft]]+TblMili[[#This Row],[Draftees]]</f>
        <v>408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0</v>
      </c>
      <c r="V15" s="319">
        <f ca="1">TblMili[[#This Row],[Draft]] * (1 + TblMili[[#This Row],[Mods_Def]])</f>
        <v>408</v>
      </c>
      <c r="W15" s="319">
        <f ca="1">TblConstr[[#This Row],[Land]]</f>
        <v>250</v>
      </c>
      <c r="X15" s="322"/>
      <c r="Y15" s="327">
        <f ca="1">IF(TblMili[[#This Row],[Set]]&lt;&gt;"",TblMili[[#This Row],[Set]],OFFSET(TblMili[[#This Row],[Draftrate]],-1,0))</f>
        <v>0.9</v>
      </c>
      <c r="Z15" s="113">
        <f ca="1">OFFSET(TblMili[[#This Row],[Draftees]],-1,0)+OFFSET(TblPop[[#This Row],[Draft Growth]],-1,0) - SUM(TblMili[[#This Row],[Train Unit 1]:[Train Wiz]]) - TblMili[[#This Row],[Release Draft]] + SUM(TblMili[[#This Row],[Release Unit 1]:[Release Arch]]) -TblExplore[[#This Row],[Draftees (2)]]</f>
        <v>408</v>
      </c>
      <c r="AA15" s="200"/>
      <c r="AB15" s="234">
        <f ca="1">(TblConstr[[#This Row],[Tot Smi]]+TblConstr[[#This Row],[Dest Smi]])/(TblConstr[[#This Row],[Land]]-TblExplore[[#This Row],[Land Bonus]]*20)</f>
        <v>0</v>
      </c>
      <c r="AC15" s="178"/>
      <c r="AD15" s="318">
        <f>TblMili[[#This Row],[Hour]]</f>
        <v>12</v>
      </c>
      <c r="AE15" s="179">
        <f ca="1">TblExplore[[#This Row],[Time]]</f>
        <v>44405.208333333307</v>
      </c>
      <c r="AF15" s="232"/>
      <c r="AG15" s="232"/>
      <c r="AH15" s="232"/>
      <c r="AI15" s="232"/>
      <c r="AJ15" s="232"/>
      <c r="AK15" s="232"/>
      <c r="AL15" s="232"/>
      <c r="AM15" s="184"/>
      <c r="AN15" s="113">
        <f ca="1">TblProd[[#This Row],[Platinum]]</f>
        <v>99491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44405.208333333307</v>
      </c>
      <c r="AT15" s="113">
        <f ca="1">TblMili[[#This Row],[Draftees]]</f>
        <v>408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358</v>
      </c>
      <c r="C16" s="203">
        <f ca="1">TblPop[[#This Row],[Military%]]</f>
        <v>0.17687747035573123</v>
      </c>
      <c r="D16" s="184"/>
      <c r="E16" s="49">
        <f ca="1">OFFSET(TblMili[[#This Row],[Unit 1]],-1,0) + OFFSET(TblMili[[#This Row],[Train Unit 1]],-9,0) - TblMili[[#This Row],[Release Unit 1]]</f>
        <v>0</v>
      </c>
      <c r="F16" s="49">
        <f ca="1">OFFSET(TblMili[[#This Row],[Unit 2]],-1,0) + OFFSET(TblMili[[#This Row],[Train Unit 2]],-9,0)-TblMili[[#This Row],[Release Unit 2]]</f>
        <v>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6100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6" s="319">
        <f ca="1">TblMili[[#This Row],[Non Draft]]+TblMili[[#This Row],[Draftees]]</f>
        <v>308</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0</v>
      </c>
      <c r="V16" s="319">
        <f ca="1">TblMili[[#This Row],[Draft]] * (1 + TblMili[[#This Row],[Mods_Def]])</f>
        <v>308</v>
      </c>
      <c r="W16" s="319">
        <f ca="1">TblConstr[[#This Row],[Land]]</f>
        <v>250</v>
      </c>
      <c r="X16" s="322"/>
      <c r="Y16" s="327">
        <f ca="1">IF(TblMili[[#This Row],[Set]]&lt;&gt;"",TblMili[[#This Row],[Set]],OFFSET(TblMili[[#This Row],[Draftrate]],-1,0))</f>
        <v>0.9</v>
      </c>
      <c r="Z16" s="113">
        <f ca="1">OFFSET(TblMili[[#This Row],[Draftees]],-1,0)+OFFSET(TblPop[[#This Row],[Draft Growth]],-1,0) - SUM(TblMili[[#This Row],[Train Unit 1]:[Train Wiz]]) - TblMili[[#This Row],[Release Draft]] + SUM(TblMili[[#This Row],[Release Unit 1]:[Release Arch]]) -TblExplore[[#This Row],[Draftees (2)]]</f>
        <v>308</v>
      </c>
      <c r="AA16" s="200"/>
      <c r="AB16" s="234">
        <f ca="1">(TblConstr[[#This Row],[Tot Smi]]+TblConstr[[#This Row],[Dest Smi]])/(TblConstr[[#This Row],[Land]]-TblExplore[[#This Row],[Land Bonus]]*20)</f>
        <v>0</v>
      </c>
      <c r="AC16" s="318"/>
      <c r="AD16" s="318">
        <f>TblMili[[#This Row],[Hour]]</f>
        <v>13</v>
      </c>
      <c r="AE16" s="179">
        <f ca="1">TblExplore[[#This Row],[Time]]</f>
        <v>44405.249999999971</v>
      </c>
      <c r="AF16" s="232"/>
      <c r="AG16" s="232"/>
      <c r="AH16" s="232"/>
      <c r="AI16" s="232"/>
      <c r="AJ16" s="232"/>
      <c r="AK16" s="232"/>
      <c r="AL16" s="232"/>
      <c r="AM16" s="184"/>
      <c r="AN16" s="113">
        <f ca="1">TblProd[[#This Row],[Platinum]]</f>
        <v>53340</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44405.249999999971</v>
      </c>
      <c r="AT16" s="113">
        <f ca="1">TblMili[[#This Row],[Draftees]]</f>
        <v>308</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375</v>
      </c>
      <c r="C17" s="203">
        <f ca="1">TblPop[[#This Row],[Military%]]</f>
        <v>0.17882689556509299</v>
      </c>
      <c r="D17" s="184"/>
      <c r="E17" s="49">
        <f ca="1">OFFSET(TblMili[[#This Row],[Unit 1]],-1,0) + OFFSET(TblMili[[#This Row],[Train Unit 1]],-9,0) - TblMili[[#This Row],[Release Unit 1]]</f>
        <v>0</v>
      </c>
      <c r="F17" s="49">
        <f ca="1">OFFSET(TblMili[[#This Row],[Unit 2]],-1,0) + OFFSET(TblMili[[#This Row],[Train Unit 2]],-9,0)-TblMili[[#This Row],[Release Unit 2]]</f>
        <v>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6100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7" s="319">
        <f ca="1">TblMili[[#This Row],[Non Draft]]+TblMili[[#This Row],[Draftees]]</f>
        <v>325</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0</v>
      </c>
      <c r="V17" s="319">
        <f ca="1">TblMili[[#This Row],[Draft]] * (1 + TblMili[[#This Row],[Mods_Def]])</f>
        <v>325</v>
      </c>
      <c r="W17" s="319">
        <f ca="1">TblConstr[[#This Row],[Land]]</f>
        <v>250</v>
      </c>
      <c r="X17" s="322"/>
      <c r="Y17" s="327">
        <f ca="1">IF(TblMili[[#This Row],[Set]]&lt;&gt;"",TblMili[[#This Row],[Set]],OFFSET(TblMili[[#This Row],[Draftrate]],-1,0))</f>
        <v>0.9</v>
      </c>
      <c r="Z17" s="113">
        <f ca="1">OFFSET(TblMili[[#This Row],[Draftees]],-1,0)+OFFSET(TblPop[[#This Row],[Draft Growth]],-1,0) - SUM(TblMili[[#This Row],[Train Unit 1]:[Train Wiz]]) - TblMili[[#This Row],[Release Draft]] + SUM(TblMili[[#This Row],[Release Unit 1]:[Release Arch]]) -TblExplore[[#This Row],[Draftees (2)]]</f>
        <v>325</v>
      </c>
      <c r="AA17" s="200"/>
      <c r="AB17" s="234">
        <f ca="1">(TblConstr[[#This Row],[Tot Smi]]+TblConstr[[#This Row],[Dest Smi]])/(TblConstr[[#This Row],[Land]]-TblExplore[[#This Row],[Land Bonus]]*20)</f>
        <v>0</v>
      </c>
      <c r="AC17" s="178"/>
      <c r="AD17" s="318">
        <f>TblMili[[#This Row],[Hour]]</f>
        <v>14</v>
      </c>
      <c r="AE17" s="179">
        <f ca="1">TblExplore[[#This Row],[Time]]</f>
        <v>44405.291666666635</v>
      </c>
      <c r="AF17" s="232"/>
      <c r="AG17" s="232"/>
      <c r="AH17" s="232"/>
      <c r="AI17" s="232"/>
      <c r="AJ17" s="232"/>
      <c r="AK17" s="232"/>
      <c r="AL17" s="232"/>
      <c r="AM17" s="184"/>
      <c r="AN17" s="113">
        <f ca="1">TblProd[[#This Row],[Platinum]]</f>
        <v>59188</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44405.291666666635</v>
      </c>
      <c r="AT17" s="113">
        <f ca="1">TblMili[[#This Row],[Draftees]]</f>
        <v>325</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392</v>
      </c>
      <c r="C18" s="203">
        <f ca="1">TblPop[[#This Row],[Military%]]</f>
        <v>0.17834394904458598</v>
      </c>
      <c r="D18" s="184"/>
      <c r="E18" s="49">
        <f ca="1">OFFSET(TblMili[[#This Row],[Unit 1]],-1,0) + OFFSET(TblMili[[#This Row],[Train Unit 1]],-9,0) - TblMili[[#This Row],[Release Unit 1]]</f>
        <v>0</v>
      </c>
      <c r="F18" s="49">
        <f ca="1">OFFSET(TblMili[[#This Row],[Unit 2]],-1,0) + OFFSET(TblMili[[#This Row],[Train Unit 2]],-9,0)-TblMili[[#This Row],[Release Unit 2]]</f>
        <v>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6100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8" s="319">
        <f ca="1">TblMili[[#This Row],[Non Draft]]+TblMili[[#This Row],[Draftees]]</f>
        <v>342</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0</v>
      </c>
      <c r="V18" s="319">
        <f ca="1">TblMili[[#This Row],[Draft]] * (1 + TblMili[[#This Row],[Mods_Def]])</f>
        <v>342</v>
      </c>
      <c r="W18" s="319">
        <f ca="1">TblConstr[[#This Row],[Land]]</f>
        <v>250</v>
      </c>
      <c r="X18" s="322"/>
      <c r="Y18" s="327">
        <f ca="1">IF(TblMili[[#This Row],[Set]]&lt;&gt;"",TblMili[[#This Row],[Set]],OFFSET(TblMili[[#This Row],[Draftrate]],-1,0))</f>
        <v>0.9</v>
      </c>
      <c r="Z18" s="113">
        <f ca="1">OFFSET(TblMili[[#This Row],[Draftees]],-1,0)+OFFSET(TblPop[[#This Row],[Draft Growth]],-1,0) - SUM(TblMili[[#This Row],[Train Unit 1]:[Train Wiz]]) - TblMili[[#This Row],[Release Draft]] + SUM(TblMili[[#This Row],[Release Unit 1]:[Release Arch]]) -TblExplore[[#This Row],[Draftees (2)]]</f>
        <v>342</v>
      </c>
      <c r="AA18" s="200"/>
      <c r="AB18" s="234">
        <f ca="1">(TblConstr[[#This Row],[Tot Smi]]+TblConstr[[#This Row],[Dest Smi]])/(TblConstr[[#This Row],[Land]]-TblExplore[[#This Row],[Land Bonus]]*20)</f>
        <v>0</v>
      </c>
      <c r="AC18" s="178"/>
      <c r="AD18" s="318">
        <f>TblMili[[#This Row],[Hour]]</f>
        <v>15</v>
      </c>
      <c r="AE18" s="179">
        <f ca="1">TblExplore[[#This Row],[Time]]</f>
        <v>44405.333333333299</v>
      </c>
      <c r="AF18" s="232"/>
      <c r="AG18" s="232"/>
      <c r="AH18" s="232"/>
      <c r="AI18" s="232"/>
      <c r="AJ18" s="232"/>
      <c r="AK18" s="232"/>
      <c r="AL18" s="232"/>
      <c r="AM18" s="184"/>
      <c r="AN18" s="113">
        <f ca="1">TblProd[[#This Row],[Platinum]]</f>
        <v>65187</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44405.333333333299</v>
      </c>
      <c r="AT18" s="113">
        <f ca="1">TblMili[[#This Row],[Draftees]]</f>
        <v>342</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410</v>
      </c>
      <c r="C19" s="203">
        <f ca="1">TblPop[[#This Row],[Military%]]</f>
        <v>0.1779513888888889</v>
      </c>
      <c r="D19" s="184"/>
      <c r="E19" s="49">
        <f ca="1">OFFSET(TblMili[[#This Row],[Unit 1]],-1,0) + OFFSET(TblMili[[#This Row],[Train Unit 1]],-9,0) - TblMili[[#This Row],[Release Unit 1]]</f>
        <v>0</v>
      </c>
      <c r="F19" s="49">
        <f ca="1">OFFSET(TblMili[[#This Row],[Unit 2]],-1,0) + OFFSET(TblMili[[#This Row],[Train Unit 2]],-9,0)-TblMili[[#This Row],[Release Unit 2]]</f>
        <v>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6100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9" s="319">
        <f ca="1">TblMili[[#This Row],[Non Draft]]+TblMili[[#This Row],[Draftees]]</f>
        <v>360</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0</v>
      </c>
      <c r="V19" s="319">
        <f ca="1">TblMili[[#This Row],[Draft]] * (1 + TblMili[[#This Row],[Mods_Def]])</f>
        <v>360</v>
      </c>
      <c r="W19" s="319">
        <f ca="1">TblConstr[[#This Row],[Land]]</f>
        <v>250</v>
      </c>
      <c r="X19" s="322"/>
      <c r="Y19" s="327">
        <f ca="1">IF(TblMili[[#This Row],[Set]]&lt;&gt;"",TblMili[[#This Row],[Set]],OFFSET(TblMili[[#This Row],[Draftrate]],-1,0))</f>
        <v>0.9</v>
      </c>
      <c r="Z19" s="113">
        <f ca="1">OFFSET(TblMili[[#This Row],[Draftees]],-1,0)+OFFSET(TblPop[[#This Row],[Draft Growth]],-1,0) - SUM(TblMili[[#This Row],[Train Unit 1]:[Train Wiz]]) - TblMili[[#This Row],[Release Draft]] + SUM(TblMili[[#This Row],[Release Unit 1]:[Release Arch]]) -TblExplore[[#This Row],[Draftees (2)]]</f>
        <v>360</v>
      </c>
      <c r="AA19" s="200"/>
      <c r="AB19" s="234">
        <f ca="1">(TblConstr[[#This Row],[Tot Smi]]+TblConstr[[#This Row],[Dest Smi]])/(TblConstr[[#This Row],[Land]]-TblExplore[[#This Row],[Land Bonus]]*20)</f>
        <v>0</v>
      </c>
      <c r="AC19" s="178"/>
      <c r="AD19" s="318">
        <f>TblMili[[#This Row],[Hour]]</f>
        <v>16</v>
      </c>
      <c r="AE19" s="179">
        <f ca="1">TblExplore[[#This Row],[Time]]</f>
        <v>44405.374999999964</v>
      </c>
      <c r="AF19" s="232"/>
      <c r="AG19" s="232"/>
      <c r="AH19" s="232"/>
      <c r="AI19" s="232"/>
      <c r="AJ19" s="232"/>
      <c r="AK19" s="232"/>
      <c r="AL19" s="232"/>
      <c r="AM19" s="184"/>
      <c r="AN19" s="113">
        <f ca="1">TblProd[[#This Row],[Platinum]]</f>
        <v>71413</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44405.374999999964</v>
      </c>
      <c r="AT19" s="113">
        <f ca="1">TblMili[[#This Row],[Draftees]]</f>
        <v>360</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429</v>
      </c>
      <c r="C20" s="203">
        <f ca="1">TblPop[[#This Row],[Military%]]</f>
        <v>0.17763975155279504</v>
      </c>
      <c r="D20" s="184"/>
      <c r="E20" s="49">
        <f ca="1">OFFSET(TblMili[[#This Row],[Unit 1]],-1,0) + OFFSET(TblMili[[#This Row],[Train Unit 1]],-9,0) - TblMili[[#This Row],[Release Unit 1]]</f>
        <v>0</v>
      </c>
      <c r="F20" s="49">
        <f ca="1">OFFSET(TblMili[[#This Row],[Unit 2]],-1,0) + OFFSET(TblMili[[#This Row],[Train Unit 2]],-9,0)-TblMili[[#This Row],[Release Unit 2]]</f>
        <v>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6100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0" s="319">
        <f ca="1">TblMili[[#This Row],[Non Draft]]+TblMili[[#This Row],[Draftees]]</f>
        <v>379</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0</v>
      </c>
      <c r="V20" s="319">
        <f ca="1">TblMili[[#This Row],[Draft]] * (1 + TblMili[[#This Row],[Mods_Def]])</f>
        <v>379</v>
      </c>
      <c r="W20" s="319">
        <f ca="1">TblConstr[[#This Row],[Land]]</f>
        <v>250</v>
      </c>
      <c r="X20" s="322"/>
      <c r="Y20" s="327">
        <f ca="1">IF(TblMili[[#This Row],[Set]]&lt;&gt;"",TblMili[[#This Row],[Set]],OFFSET(TblMili[[#This Row],[Draftrate]],-1,0))</f>
        <v>0.9</v>
      </c>
      <c r="Z20" s="113">
        <f ca="1">OFFSET(TblMili[[#This Row],[Draftees]],-1,0)+OFFSET(TblPop[[#This Row],[Draft Growth]],-1,0) - SUM(TblMili[[#This Row],[Train Unit 1]:[Train Wiz]]) - TblMili[[#This Row],[Release Draft]] + SUM(TblMili[[#This Row],[Release Unit 1]:[Release Arch]]) -TblExplore[[#This Row],[Draftees (2)]]</f>
        <v>379</v>
      </c>
      <c r="AA20" s="200"/>
      <c r="AB20" s="234">
        <f ca="1">(TblConstr[[#This Row],[Tot Smi]]+TblConstr[[#This Row],[Dest Smi]])/(TblConstr[[#This Row],[Land]]-TblExplore[[#This Row],[Land Bonus]]*20)</f>
        <v>0</v>
      </c>
      <c r="AC20" s="178"/>
      <c r="AD20" s="318">
        <f>TblMili[[#This Row],[Hour]]</f>
        <v>17</v>
      </c>
      <c r="AE20" s="179">
        <f ca="1">TblExplore[[#This Row],[Time]]</f>
        <v>44405.416666666628</v>
      </c>
      <c r="AF20" s="232"/>
      <c r="AG20" s="232"/>
      <c r="AH20" s="232"/>
      <c r="AI20" s="232"/>
      <c r="AJ20" s="232"/>
      <c r="AK20" s="232"/>
      <c r="AL20" s="232"/>
      <c r="AM20" s="184"/>
      <c r="AN20" s="113">
        <f ca="1">TblProd[[#This Row],[Platinum]]</f>
        <v>78523</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44405.416666666628</v>
      </c>
      <c r="AT20" s="113">
        <f ca="1">TblMili[[#This Row],[Draftees]]</f>
        <v>379</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449</v>
      </c>
      <c r="C21" s="203">
        <f ca="1">TblPop[[#This Row],[Military%]]</f>
        <v>0.1773301737756714</v>
      </c>
      <c r="D21" s="184"/>
      <c r="E21" s="49">
        <f ca="1">OFFSET(TblMili[[#This Row],[Unit 1]],-1,0) + OFFSET(TblMili[[#This Row],[Train Unit 1]],-9,0) - TblMili[[#This Row],[Release Unit 1]]</f>
        <v>0</v>
      </c>
      <c r="F21" s="49">
        <f ca="1">OFFSET(TblMili[[#This Row],[Unit 2]],-1,0) + OFFSET(TblMili[[#This Row],[Train Unit 2]],-9,0)-TblMili[[#This Row],[Release Unit 2]]</f>
        <v>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6100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1" s="319">
        <f ca="1">TblMili[[#This Row],[Non Draft]]+TblMili[[#This Row],[Draftees]]</f>
        <v>399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0</v>
      </c>
      <c r="V21" s="319">
        <f ca="1">TblMili[[#This Row],[Draft]] * (1 + TblMili[[#This Row],[Mods_Def]])</f>
        <v>399</v>
      </c>
      <c r="W21" s="319">
        <f ca="1">TblConstr[[#This Row],[Land]]</f>
        <v>250</v>
      </c>
      <c r="X21" s="322"/>
      <c r="Y21" s="327">
        <f ca="1">IF(TblMili[[#This Row],[Set]]&lt;&gt;"",TblMili[[#This Row],[Set]],OFFSET(TblMili[[#This Row],[Draftrate]],-1,0))</f>
        <v>0.9</v>
      </c>
      <c r="Z21" s="113">
        <f ca="1">OFFSET(TblMili[[#This Row],[Draftees]],-1,0)+OFFSET(TblPop[[#This Row],[Draft Growth]],-1,0) - SUM(TblMili[[#This Row],[Train Unit 1]:[Train Wiz]]) - TblMili[[#This Row],[Release Draft]] + SUM(TblMili[[#This Row],[Release Unit 1]:[Release Arch]]) -TblExplore[[#This Row],[Draftees (2)]]</f>
        <v>399</v>
      </c>
      <c r="AA21" s="200"/>
      <c r="AB21" s="234">
        <f ca="1">(TblConstr[[#This Row],[Tot Smi]]+TblConstr[[#This Row],[Dest Smi]])/(TblConstr[[#This Row],[Land]]-TblExplore[[#This Row],[Land Bonus]]*20)</f>
        <v>0</v>
      </c>
      <c r="AC21" s="178"/>
      <c r="AD21" s="318">
        <f>TblMili[[#This Row],[Hour]]</f>
        <v>18</v>
      </c>
      <c r="AE21" s="179">
        <f ca="1">TblExplore[[#This Row],[Time]]</f>
        <v>44405.458333333292</v>
      </c>
      <c r="AF21" s="232"/>
      <c r="AG21" s="232"/>
      <c r="AH21" s="232"/>
      <c r="AI21" s="232"/>
      <c r="AJ21" s="232"/>
      <c r="AK21" s="232"/>
      <c r="AL21" s="232"/>
      <c r="AM21" s="184"/>
      <c r="AN21" s="113">
        <f ca="1">TblProd[[#This Row],[Platinum]]</f>
        <v>85906</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44405.458333333292</v>
      </c>
      <c r="AT21" s="113">
        <f ca="1">TblMili[[#This Row],[Draftees]]</f>
        <v>399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470</v>
      </c>
      <c r="C22" s="203">
        <f ca="1">TblPop[[#This Row],[Military%]]</f>
        <v>0.17709118311981914</v>
      </c>
      <c r="D22" s="184"/>
      <c r="E22" s="49">
        <f ca="1">OFFSET(TblMili[[#This Row],[Unit 1]],-1,0) + OFFSET(TblMili[[#This Row],[Train Unit 1]],-9,0) - TblMili[[#This Row],[Release Unit 1]]</f>
        <v>0</v>
      </c>
      <c r="F22" s="49">
        <f ca="1">OFFSET(TblMili[[#This Row],[Unit 2]],-1,0) + OFFSET(TblMili[[#This Row],[Train Unit 2]],-9,0)-TblMili[[#This Row],[Release Unit 2]]</f>
        <v>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6100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2" s="319">
        <f ca="1">TblMili[[#This Row],[Non Draft]]+TblMili[[#This Row],[Draftees]]</f>
        <v>420</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0</v>
      </c>
      <c r="V22" s="319">
        <f ca="1">TblMili[[#This Row],[Draft]] * (1 + TblMili[[#This Row],[Mods_Def]])</f>
        <v>420</v>
      </c>
      <c r="W22" s="319">
        <f ca="1">TblConstr[[#This Row],[Land]]</f>
        <v>250</v>
      </c>
      <c r="X22" s="322"/>
      <c r="Y22" s="327">
        <f ca="1">IF(TblMili[[#This Row],[Set]]&lt;&gt;"",TblMili[[#This Row],[Set]],OFFSET(TblMili[[#This Row],[Draftrate]],-1,0))</f>
        <v>0.9</v>
      </c>
      <c r="Z22" s="113">
        <f ca="1">OFFSET(TblMili[[#This Row],[Draftees]],-1,0)+OFFSET(TblPop[[#This Row],[Draft Growth]],-1,0) - SUM(TblMili[[#This Row],[Train Unit 1]:[Train Wiz]]) - TblMili[[#This Row],[Release Draft]] + SUM(TblMili[[#This Row],[Release Unit 1]:[Release Arch]]) -TblExplore[[#This Row],[Draftees (2)]]</f>
        <v>420</v>
      </c>
      <c r="AA22" s="200"/>
      <c r="AB22" s="234">
        <f ca="1">(TblConstr[[#This Row],[Tot Smi]]+TblConstr[[#This Row],[Dest Smi]])/(TblConstr[[#This Row],[Land]]-TblExplore[[#This Row],[Land Bonus]]*20)</f>
        <v>0</v>
      </c>
      <c r="AC22" s="178"/>
      <c r="AD22" s="318">
        <f>TblMili[[#This Row],[Hour]]</f>
        <v>19</v>
      </c>
      <c r="AE22" s="179">
        <f ca="1">TblExplore[[#This Row],[Time]]</f>
        <v>44405.499999999956</v>
      </c>
      <c r="AF22" s="232"/>
      <c r="AG22" s="232"/>
      <c r="AH22" s="232"/>
      <c r="AI22" s="232"/>
      <c r="AJ22" s="232"/>
      <c r="AK22" s="232"/>
      <c r="AL22" s="232"/>
      <c r="AM22" s="184"/>
      <c r="AN22" s="113">
        <f ca="1">TblProd[[#This Row],[Platinum]]</f>
        <v>93577</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44405.499999999956</v>
      </c>
      <c r="AT22" s="113">
        <f ca="1">TblMili[[#This Row],[Draftees]]</f>
        <v>420</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492</v>
      </c>
      <c r="C23" s="203">
        <f ca="1">TblPop[[#This Row],[Military%]]</f>
        <v>0.17685118619698059</v>
      </c>
      <c r="D23" s="184"/>
      <c r="E23" s="49">
        <f ca="1">OFFSET(TblMili[[#This Row],[Unit 1]],-1,0) + OFFSET(TblMili[[#This Row],[Train Unit 1]],-9,0) - TblMili[[#This Row],[Release Unit 1]]</f>
        <v>0</v>
      </c>
      <c r="F23" s="49">
        <f ca="1">OFFSET(TblMili[[#This Row],[Unit 2]],-1,0) + OFFSET(TblMili[[#This Row],[Train Unit 2]],-9,0)-TblMili[[#This Row],[Release Unit 2]]</f>
        <v>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6100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3" s="319">
        <f ca="1">TblMili[[#This Row],[Non Draft]]+TblMili[[#This Row],[Draftees]]</f>
        <v>442</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0</v>
      </c>
      <c r="V23" s="319">
        <f ca="1">TblMili[[#This Row],[Draft]] * (1 + TblMili[[#This Row],[Mods_Def]])</f>
        <v>442</v>
      </c>
      <c r="W23" s="319">
        <f ca="1">TblConstr[[#This Row],[Land]]</f>
        <v>250</v>
      </c>
      <c r="X23" s="322"/>
      <c r="Y23" s="327">
        <f ca="1">IF(TblMili[[#This Row],[Set]]&lt;&gt;"",TblMili[[#This Row],[Set]],OFFSET(TblMili[[#This Row],[Draftrate]],-1,0))</f>
        <v>0.9</v>
      </c>
      <c r="Z23" s="113">
        <f ca="1">OFFSET(TblMili[[#This Row],[Draftees]],-1,0)+OFFSET(TblPop[[#This Row],[Draft Growth]],-1,0) - SUM(TblMili[[#This Row],[Train Unit 1]:[Train Wiz]]) - TblMili[[#This Row],[Release Draft]] + SUM(TblMili[[#This Row],[Release Unit 1]:[Release Arch]]) -TblExplore[[#This Row],[Draftees (2)]]</f>
        <v>442</v>
      </c>
      <c r="AA23" s="200"/>
      <c r="AB23" s="234">
        <f ca="1">(TblConstr[[#This Row],[Tot Smi]]+TblConstr[[#This Row],[Dest Smi]])/(TblConstr[[#This Row],[Land]]-TblExplore[[#This Row],[Land Bonus]]*20)</f>
        <v>0</v>
      </c>
      <c r="AC23" s="178"/>
      <c r="AD23" s="318">
        <f>TblMili[[#This Row],[Hour]]</f>
        <v>20</v>
      </c>
      <c r="AE23" s="179">
        <f ca="1">TblExplore[[#This Row],[Time]]</f>
        <v>44405.541666666621</v>
      </c>
      <c r="AF23" s="232"/>
      <c r="AG23" s="232"/>
      <c r="AH23" s="232"/>
      <c r="AI23" s="232"/>
      <c r="AJ23" s="232"/>
      <c r="AK23" s="232"/>
      <c r="AL23" s="232"/>
      <c r="AM23" s="184"/>
      <c r="AN23" s="113">
        <f ca="1">TblProd[[#This Row],[Platinum]]</f>
        <v>101548</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44405.541666666621</v>
      </c>
      <c r="AT23" s="113">
        <f ca="1">TblMili[[#This Row],[Draftees]]</f>
        <v>442</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515</v>
      </c>
      <c r="C24" s="203">
        <f ca="1">TblPop[[#This Row],[Military%]]</f>
        <v>0.17655125128556737</v>
      </c>
      <c r="D24" s="184"/>
      <c r="E24" s="49">
        <f ca="1">OFFSET(TblMili[[#This Row],[Unit 1]],-1,0) + OFFSET(TblMili[[#This Row],[Train Unit 1]],-9,0) - TblMili[[#This Row],[Release Unit 1]]</f>
        <v>0</v>
      </c>
      <c r="F24" s="49">
        <f ca="1">OFFSET(TblMili[[#This Row],[Unit 2]],-1,0) + OFFSET(TblMili[[#This Row],[Train Unit 2]],-9,0)-TblMili[[#This Row],[Release Unit 2]]</f>
        <v>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6100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4" s="319">
        <f ca="1">TblMili[[#This Row],[Non Draft]]+TblMili[[#This Row],[Draftees]]</f>
        <v>465</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0</v>
      </c>
      <c r="V24" s="319">
        <f ca="1">TblMili[[#This Row],[Draft]] * (1 + TblMili[[#This Row],[Mods_Def]])</f>
        <v>465</v>
      </c>
      <c r="W24" s="319">
        <f ca="1">TblConstr[[#This Row],[Land]]</f>
        <v>250</v>
      </c>
      <c r="X24" s="322"/>
      <c r="Y24" s="327">
        <f ca="1">IF(TblMili[[#This Row],[Set]]&lt;&gt;"",TblMili[[#This Row],[Set]],OFFSET(TblMili[[#This Row],[Draftrate]],-1,0))</f>
        <v>0.9</v>
      </c>
      <c r="Z24" s="113">
        <f ca="1">OFFSET(TblMili[[#This Row],[Draftees]],-1,0)+OFFSET(TblPop[[#This Row],[Draft Growth]],-1,0) - SUM(TblMili[[#This Row],[Train Unit 1]:[Train Wiz]]) - TblMili[[#This Row],[Release Draft]] + SUM(TblMili[[#This Row],[Release Unit 1]:[Release Arch]]) -TblExplore[[#This Row],[Draftees (2)]]</f>
        <v>465</v>
      </c>
      <c r="AA24" s="200"/>
      <c r="AB24" s="234">
        <f ca="1">(TblConstr[[#This Row],[Tot Smi]]+TblConstr[[#This Row],[Dest Smi]])/(TblConstr[[#This Row],[Land]]-TblExplore[[#This Row],[Land Bonus]]*20)</f>
        <v>0</v>
      </c>
      <c r="AC24" s="178"/>
      <c r="AD24" s="318">
        <f>TblMili[[#This Row],[Hour]]</f>
        <v>21</v>
      </c>
      <c r="AE24" s="179">
        <f ca="1">TblExplore[[#This Row],[Time]]</f>
        <v>44405.583333333285</v>
      </c>
      <c r="AF24" s="232"/>
      <c r="AG24" s="232"/>
      <c r="AH24" s="232"/>
      <c r="AI24" s="232"/>
      <c r="AJ24" s="232"/>
      <c r="AK24" s="232"/>
      <c r="AL24" s="232"/>
      <c r="AM24" s="184"/>
      <c r="AN24" s="113">
        <f ca="1">TblProd[[#This Row],[Platinum]]</f>
        <v>109834</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44405.583333333285</v>
      </c>
      <c r="AT24" s="113">
        <f ca="1">TblMili[[#This Row],[Draftees]]</f>
        <v>465</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539</v>
      </c>
      <c r="C25" s="203">
        <f ca="1">TblPop[[#This Row],[Military%]]</f>
        <v>0.17625899280575538</v>
      </c>
      <c r="D25" s="184"/>
      <c r="E25" s="49">
        <f ca="1">OFFSET(TblMili[[#This Row],[Unit 1]],-1,0) + OFFSET(TblMili[[#This Row],[Train Unit 1]],-9,0) - TblMili[[#This Row],[Release Unit 1]]</f>
        <v>0</v>
      </c>
      <c r="F25" s="49">
        <f ca="1">OFFSET(TblMili[[#This Row],[Unit 2]],-1,0) + OFFSET(TblMili[[#This Row],[Train Unit 2]],-9,0)-TblMili[[#This Row],[Release Unit 2]]</f>
        <v>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6100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5" s="319">
        <f ca="1">TblMili[[#This Row],[Non Draft]]+TblMili[[#This Row],[Draftees]]</f>
        <v>489</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0</v>
      </c>
      <c r="V25" s="319">
        <f ca="1">TblMili[[#This Row],[Draft]] * (1 + TblMili[[#This Row],[Mods_Def]])</f>
        <v>489</v>
      </c>
      <c r="W25" s="319">
        <f ca="1">TblConstr[[#This Row],[Land]]</f>
        <v>250</v>
      </c>
      <c r="X25" s="322"/>
      <c r="Y25" s="327">
        <f ca="1">IF(TblMili[[#This Row],[Set]]&lt;&gt;"",TblMili[[#This Row],[Set]],OFFSET(TblMili[[#This Row],[Draftrate]],-1,0))</f>
        <v>0.9</v>
      </c>
      <c r="Z25" s="113">
        <f ca="1">OFFSET(TblMili[[#This Row],[Draftees]],-1,0)+OFFSET(TblPop[[#This Row],[Draft Growth]],-1,0) - SUM(TblMili[[#This Row],[Train Unit 1]:[Train Wiz]]) - TblMili[[#This Row],[Release Draft]] + SUM(TblMili[[#This Row],[Release Unit 1]:[Release Arch]]) -TblExplore[[#This Row],[Draftees (2)]]</f>
        <v>489</v>
      </c>
      <c r="AA25" s="200"/>
      <c r="AB25" s="234">
        <f ca="1">(TblConstr[[#This Row],[Tot Smi]]+TblConstr[[#This Row],[Dest Smi]])/(TblConstr[[#This Row],[Land]]-TblExplore[[#This Row],[Land Bonus]]*20)</f>
        <v>0</v>
      </c>
      <c r="AC25" s="178"/>
      <c r="AD25" s="318">
        <f>TblMili[[#This Row],[Hour]]</f>
        <v>22</v>
      </c>
      <c r="AE25" s="179">
        <f ca="1">TblExplore[[#This Row],[Time]]</f>
        <v>44405.624999999949</v>
      </c>
      <c r="AF25" s="232"/>
      <c r="AG25" s="232"/>
      <c r="AH25" s="232"/>
      <c r="AI25" s="232"/>
      <c r="AJ25" s="232"/>
      <c r="AK25" s="232"/>
      <c r="AL25" s="232"/>
      <c r="AM25" s="184"/>
      <c r="AN25" s="113">
        <f ca="1">TblProd[[#This Row],[Platinum]]</f>
        <v>118452</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44405.624999999949</v>
      </c>
      <c r="AT25" s="113">
        <f ca="1">TblMili[[#This Row],[Draftees]]</f>
        <v>489</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564</v>
      </c>
      <c r="C26" s="203">
        <f ca="1">TblPop[[#This Row],[Military%]]</f>
        <v>0.17592014971927636</v>
      </c>
      <c r="D26" s="184"/>
      <c r="E26" s="49">
        <f ca="1">OFFSET(TblMili[[#This Row],[Unit 1]],-1,0) + OFFSET(TblMili[[#This Row],[Train Unit 1]],-9,0) - TblMili[[#This Row],[Release Unit 1]]</f>
        <v>0</v>
      </c>
      <c r="F26" s="49">
        <f ca="1">OFFSET(TblMili[[#This Row],[Unit 2]],-1,0) + OFFSET(TblMili[[#This Row],[Train Unit 2]],-9,0)-TblMili[[#This Row],[Release Unit 2]]</f>
        <v>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6100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6" s="319">
        <f ca="1">TblMili[[#This Row],[Non Draft]]+TblMili[[#This Row],[Draftees]]</f>
        <v>514</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0</v>
      </c>
      <c r="V26" s="319">
        <f ca="1">TblMili[[#This Row],[Draft]] * (1 + TblMili[[#This Row],[Mods_Def]])</f>
        <v>514</v>
      </c>
      <c r="W26" s="319">
        <f ca="1">TblConstr[[#This Row],[Land]]</f>
        <v>250</v>
      </c>
      <c r="X26" s="322"/>
      <c r="Y26" s="327">
        <f ca="1">IF(TblMili[[#This Row],[Set]]&lt;&gt;"",TblMili[[#This Row],[Set]],OFFSET(TblMili[[#This Row],[Draftrate]],-1,0))</f>
        <v>0.9</v>
      </c>
      <c r="Z26" s="113">
        <f ca="1">OFFSET(TblMili[[#This Row],[Draftees]],-1,0)+OFFSET(TblPop[[#This Row],[Draft Growth]],-1,0) - SUM(TblMili[[#This Row],[Train Unit 1]:[Train Wiz]]) - TblMili[[#This Row],[Release Draft]] + SUM(TblMili[[#This Row],[Release Unit 1]:[Release Arch]]) -TblExplore[[#This Row],[Draftees (2)]]</f>
        <v>514</v>
      </c>
      <c r="AA26" s="200"/>
      <c r="AB26" s="234">
        <f ca="1">(TblConstr[[#This Row],[Tot Smi]]+TblConstr[[#This Row],[Dest Smi]])/(TblConstr[[#This Row],[Land]]-TblExplore[[#This Row],[Land Bonus]]*20)</f>
        <v>0</v>
      </c>
      <c r="AC26" s="178"/>
      <c r="AD26" s="318">
        <f>TblMili[[#This Row],[Hour]]</f>
        <v>23</v>
      </c>
      <c r="AE26" s="179">
        <f ca="1">TblExplore[[#This Row],[Time]]</f>
        <v>44405.666666666613</v>
      </c>
      <c r="AF26" s="232"/>
      <c r="AG26" s="232"/>
      <c r="AH26" s="232"/>
      <c r="AI26" s="232"/>
      <c r="AJ26" s="232"/>
      <c r="AK26" s="232"/>
      <c r="AL26" s="232"/>
      <c r="AM26" s="184"/>
      <c r="AN26" s="113">
        <f ca="1">TblProd[[#This Row],[Platinum]]</f>
        <v>127418</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44405.666666666613</v>
      </c>
      <c r="AT26" s="113">
        <f ca="1">TblMili[[#This Row],[Draftees]]</f>
        <v>514</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50</v>
      </c>
      <c r="C27" s="203">
        <f ca="1">TblPop[[#This Row],[Military%]]</f>
        <v>1.7724211272598371E-2</v>
      </c>
      <c r="D27" s="184"/>
      <c r="E27" s="49">
        <f ca="1">OFFSET(TblMili[[#This Row],[Unit 1]],-1,0) + OFFSET(TblMili[[#This Row],[Train Unit 1]],-9,0) - TblMili[[#This Row],[Release Unit 1]]</f>
        <v>0</v>
      </c>
      <c r="F27" s="49">
        <f ca="1">OFFSET(TblMili[[#This Row],[Unit 2]],-1,0) + OFFSET(TblMili[[#This Row],[Train Unit 2]],-9,0)-TblMili[[#This Row],[Release Unit 2]]</f>
        <v>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6500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7" s="319">
        <f ca="1">TblMili[[#This Row],[Non Draft]]+TblMili[[#This Row],[Draftees]]</f>
        <v>0</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0</v>
      </c>
      <c r="V27" s="319">
        <f ca="1">TblMili[[#This Row],[Draft]] * (1 + TblMili[[#This Row],[Mods_Def]])</f>
        <v>0</v>
      </c>
      <c r="W27" s="319">
        <f ca="1">TblConstr[[#This Row],[Land]]</f>
        <v>270</v>
      </c>
      <c r="X27" s="322"/>
      <c r="Y27" s="327">
        <f ca="1">IF(TblMili[[#This Row],[Set]]&lt;&gt;"",TblMili[[#This Row],[Set]],OFFSET(TblMili[[#This Row],[Draftrate]],-1,0))</f>
        <v>0.9</v>
      </c>
      <c r="Z27" s="113">
        <f ca="1">OFFSET(TblMili[[#This Row],[Draftees]],-1,0)+OFFSET(TblPop[[#This Row],[Draft Growth]],-1,0) - SUM(TblMili[[#This Row],[Train Unit 1]:[Train Wiz]]) - TblMili[[#This Row],[Release Draft]] + SUM(TblMili[[#This Row],[Release Unit 1]:[Release Arch]]) -TblExplore[[#This Row],[Draftees (2)]]</f>
        <v>0</v>
      </c>
      <c r="AA27" s="200"/>
      <c r="AB27" s="234">
        <f ca="1">(TblConstr[[#This Row],[Tot Smi]]+TblConstr[[#This Row],[Dest Smi]])/(TblConstr[[#This Row],[Land]]-TblExplore[[#This Row],[Land Bonus]]*20)</f>
        <v>0</v>
      </c>
      <c r="AC27" s="178"/>
      <c r="AD27" s="318">
        <f>TblMili[[#This Row],[Hour]]</f>
        <v>24</v>
      </c>
      <c r="AE27" s="179">
        <f ca="1">TblExplore[[#This Row],[Time]]</f>
        <v>44405.708333333278</v>
      </c>
      <c r="AF27" s="232"/>
      <c r="AG27" s="232"/>
      <c r="AH27" s="232"/>
      <c r="AI27" s="232"/>
      <c r="AJ27" s="232"/>
      <c r="AK27" s="232"/>
      <c r="AL27" s="232"/>
      <c r="AM27" s="184"/>
      <c r="AN27" s="113">
        <f ca="1">TblProd[[#This Row],[Platinum]]</f>
        <v>26283</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44405.708333333278</v>
      </c>
      <c r="AT27" s="113">
        <f ca="1">TblMili[[#This Row],[Draftees]]</f>
        <v>0</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0.48148148148148145</v>
      </c>
      <c r="BS27" s="208">
        <f ca="1">TblMili[[#This Row],[WG''s]]</f>
        <v>0</v>
      </c>
      <c r="BT27" s="323">
        <f ca="1">IF(mystic_cap="none",TblMili[[#This Row],[Hill]]/mystic_bonus,MIN(mystic_cap,TblMili[[#This Row],[Hill]]/mystic_bonus))</f>
        <v>2.407407407407407</v>
      </c>
      <c r="BU27" s="323">
        <f ca="1">IF(druid_op_cap="none",TblMili[[#This Row],[Hill]]/druid_op_bonus,MIN(druid_op_cap,TblMili[[#This Row],[Hill]]/druid_op_bonus))</f>
        <v>2.407407407407407</v>
      </c>
      <c r="BV27" s="323">
        <f ca="1">IF(druid_dp_cap="none",TblMili[[#This Row],[Hill]]/druid_dp_bonus,MIN(druid_dp_cap,TblMili[[#This Row],[Hill]]/druid_dp_bonus))</f>
        <v>2.407407407407407</v>
      </c>
      <c r="BW27" s="323">
        <f ca="1">MIN(dryad_cap,TblMili[[#This Row],[Hill]]/dryad_bonus)</f>
        <v>2.407407407407407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2.407407407407407</v>
      </c>
      <c r="CD27" s="59">
        <f ca="1">MIN(ice_elem_cap,TblMili[[#This Row],[Raw (2)]]*ice_elem_bonus)</f>
        <v>9.2592592592592587E-2</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3.6814814814814811</v>
      </c>
      <c r="CK27" s="323">
        <f ca="1">1.8 * MIN(MAX(TblMili[[#This Row],[Druid (op)]]+Races!$E$20,TblMili[[#This Row],[Druid (dp)]]+Races!$F$20),6)  +  0.45 * MIN(MIN(TblMili[[#This Row],[Druid (op)]]+Races!$E$20,TblMili[[#This Row],[Druid (dp)]]+Races!$F$20),6)  +  0.2 * ( MAX(TblMili[[#This Row],[Druid (op)]]+Races!$E$20-6,0) + MAX(TblMili[[#This Row],[Druid (dp)]]+Races!$F$20-6,0) )  -  Races!$I$20</f>
        <v>5.4166666666666652</v>
      </c>
      <c r="CL27" s="113">
        <f ca="1">TblMili[[#This Row],[Mystic bonus]]*TblMili[[#This Row],[Unit 3]]+TblMili[[#This Row],[Druid bonus]]*TblMili[[#This Row],[Unit 4]]</f>
        <v>0</v>
      </c>
      <c r="CM27" s="201">
        <f ca="1">MIN(6,TblMili[[#This Row],[Dryad]]+Races!$F$35)*1.8 +  IF(TblMili[[#This Row],[Dryad]]+Races!$F$35&gt;6,(TblMili[[#This Row],[Dryad]]+Races!$F$35-6)*0.2,0) - Races!$I$19</f>
        <v>2.5333333333333323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4.3333333333333321</v>
      </c>
      <c r="CT27" s="201">
        <f ca="1">1.8 * MIN(MAX(TblMili[[#This Row],[Ice Elemental]]+Races!$E$71,Races!$F$71),6)  +  0.45 * MIN(MIN(TblMili[[#This Row],[Ice Elemental]]+Races!$E$71,Races!$F$71),6)  +  0.2 * ( MAX(TblMili[[#This Row],[Ice Elemental]]+Races!$E$71-6,0) + MAX(Races!$F$71-6,0) )  -  Races!$I$71</f>
        <v>0.16666666666666607</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6500</v>
      </c>
      <c r="CZ27" s="184"/>
      <c r="DA27" s="326">
        <f ca="1">(TblMili[[#This Row],[Wizards]]+2*TblMili[[#This Row],[Archmages]])/TblConstr[[#This Row],[Land]]</f>
        <v>9.2592592592592587E-2</v>
      </c>
      <c r="DB27" s="326">
        <f ca="1">TblMili[[#This Row],[Raw (2)]]*(1+race_wizard_strength+IF(TblMili[[#This Row],[Hour]]&gt;72,tech_magical_weaponry_wiz*TblTech[[#This Row],[3-5]],0))</f>
        <v>9.2592592592592587E-2</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78</v>
      </c>
      <c r="C28" s="203">
        <f ca="1">TblPop[[#This Row],[Military%]]</f>
        <v>2.6200873362445413E-2</v>
      </c>
      <c r="D28" s="184"/>
      <c r="E28" s="49">
        <f ca="1">OFFSET(TblMili[[#This Row],[Unit 1]],-1,0) + OFFSET(TblMili[[#This Row],[Train Unit 1]],-9,0) - TblMili[[#This Row],[Release Unit 1]]</f>
        <v>0</v>
      </c>
      <c r="F28" s="49">
        <f ca="1">OFFSET(TblMili[[#This Row],[Unit 2]],-1,0) + OFFSET(TblMili[[#This Row],[Train Unit 2]],-9,0)-TblMili[[#This Row],[Release Unit 2]]</f>
        <v>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7480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8" s="319">
        <f ca="1">TblMili[[#This Row],[Non Draft]]+TblMili[[#This Row],[Draftees]]</f>
        <v>28</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0</v>
      </c>
      <c r="V28" s="319">
        <f ca="1">TblMili[[#This Row],[Draft]] * (1 + TblMili[[#This Row],[Mods_Def]])</f>
        <v>28</v>
      </c>
      <c r="W28" s="319">
        <f ca="1">TblConstr[[#This Row],[Land]]</f>
        <v>299</v>
      </c>
      <c r="X28" s="322"/>
      <c r="Y28" s="327">
        <f ca="1">IF(TblMili[[#This Row],[Set]]&lt;&gt;"",TblMili[[#This Row],[Set]],OFFSET(TblMili[[#This Row],[Draftrate]],-1,0))</f>
        <v>0.9</v>
      </c>
      <c r="Z28" s="113">
        <f ca="1">OFFSET(TblMili[[#This Row],[Draftees]],-1,0)+OFFSET(TblPop[[#This Row],[Draft Growth]],-1,0) - SUM(TblMili[[#This Row],[Train Unit 1]:[Train Wiz]]) - TblMili[[#This Row],[Release Draft]] + SUM(TblMili[[#This Row],[Release Unit 1]:[Release Arch]]) -TblExplore[[#This Row],[Draftees (2)]]</f>
        <v>28</v>
      </c>
      <c r="AA28" s="200"/>
      <c r="AB28" s="234">
        <f ca="1">(TblConstr[[#This Row],[Tot Smi]]+TblConstr[[#This Row],[Dest Smi]])/(TblConstr[[#This Row],[Land]]-TblExplore[[#This Row],[Land Bonus]]*20)</f>
        <v>0</v>
      </c>
      <c r="AC28" s="178"/>
      <c r="AD28" s="318">
        <f>TblMili[[#This Row],[Hour]]</f>
        <v>25</v>
      </c>
      <c r="AE28" s="179">
        <f ca="1">TblExplore[[#This Row],[Time]]</f>
        <v>44405.749999999942</v>
      </c>
      <c r="AF28" s="232"/>
      <c r="AG28" s="232"/>
      <c r="AH28" s="232"/>
      <c r="AI28" s="232"/>
      <c r="AJ28" s="232"/>
      <c r="AK28" s="232"/>
      <c r="AL28" s="232"/>
      <c r="AM28" s="184"/>
      <c r="AN28" s="113">
        <f ca="1">TblProd[[#This Row],[Platinum]]</f>
        <v>28117</v>
      </c>
      <c r="AO28" s="113">
        <f ca="1">INDEX(TblProd[[#Headers],[Lumber]]:TblProd[[#This Row],[Ore]],COUNTA(TblProd[[#Headers],[Lumber]]:TblProd[[#This Row],[Lumber]]),MATCH(Military!$AO$2,TblProd[[#Headers],[Lumber]:[Ore]],0))</f>
        <v>1200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44405.749999999942</v>
      </c>
      <c r="AT28" s="113">
        <f ca="1">TblMili[[#This Row],[Draftees]]</f>
        <v>28</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0.5317725752508361</v>
      </c>
      <c r="BS28" s="208">
        <f ca="1">TblMili[[#This Row],[WG''s]]</f>
        <v>0</v>
      </c>
      <c r="BT28" s="323">
        <f ca="1">IF(mystic_cap="none",TblMili[[#This Row],[Hill]]/mystic_bonus,MIN(mystic_cap,TblMili[[#This Row],[Hill]]/mystic_bonus))</f>
        <v>2.6588628762541804</v>
      </c>
      <c r="BU28" s="323">
        <f ca="1">IF(druid_op_cap="none",TblMili[[#This Row],[Hill]]/druid_op_bonus,MIN(druid_op_cap,TblMili[[#This Row],[Hill]]/druid_op_bonus))</f>
        <v>2.6588628762541804</v>
      </c>
      <c r="BV28" s="323">
        <f ca="1">IF(druid_dp_cap="none",TblMili[[#This Row],[Hill]]/druid_dp_bonus,MIN(druid_dp_cap,TblMili[[#This Row],[Hill]]/druid_dp_bonus))</f>
        <v>2.6588628762541804</v>
      </c>
      <c r="BW28" s="323">
        <f ca="1">MIN(dryad_cap,TblMili[[#This Row],[Hill]]/dryad_bonus)</f>
        <v>2.6588628762541804</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2.6588628762541804</v>
      </c>
      <c r="CD28" s="59">
        <f ca="1">MIN(ice_elem_cap,TblMili[[#This Row],[Raw (2)]]*ice_elem_bonus)</f>
        <v>8.3612040133779264E-2</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3.7317725752508357</v>
      </c>
      <c r="CK28"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28" s="113">
        <f ca="1">TblMili[[#This Row],[Mystic bonus]]*TblMili[[#This Row],[Unit 3]]+TblMili[[#This Row],[Druid bonus]]*TblMili[[#This Row],[Unit 4]]</f>
        <v>0</v>
      </c>
      <c r="CM28" s="201">
        <f ca="1">MIN(6,TblMili[[#This Row],[Dryad]]+Races!$F$35)*1.8 +  IF(TblMili[[#This Row],[Dryad]]+Races!$F$35&gt;6,(TblMili[[#This Row],[Dryad]]+Races!$F$35-6)*0.2,0) - Races!$I$19</f>
        <v>2.9859531772575254</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4.7859531772575252</v>
      </c>
      <c r="CT28" s="201">
        <f ca="1">1.8 * MIN(MAX(TblMili[[#This Row],[Ice Elemental]]+Races!$E$71,Races!$F$71),6)  +  0.45 * MIN(MIN(TblMili[[#This Row],[Ice Elemental]]+Races!$E$71,Races!$F$71),6)  +  0.2 * ( MAX(TblMili[[#This Row],[Ice Elemental]]+Races!$E$71-6,0) + MAX(Races!$F$71-6,0) )  -  Races!$I$71</f>
        <v>0.15050167224080369</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28" s="184"/>
      <c r="DA28" s="326">
        <f ca="1">(TblMili[[#This Row],[Wizards]]+2*TblMili[[#This Row],[Archmages]])/TblConstr[[#This Row],[Land]]</f>
        <v>8.3612040133779264E-2</v>
      </c>
      <c r="DB28" s="326">
        <f ca="1">TblMili[[#This Row],[Raw (2)]]*(1+race_wizard_strength+IF(TblMili[[#This Row],[Hour]]&gt;72,tech_magical_weaponry_wiz*TblTech[[#This Row],[3-5]],0))</f>
        <v>8.3612040133779264E-2</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107</v>
      </c>
      <c r="C29" s="203">
        <f ca="1">TblPop[[#This Row],[Military%]]</f>
        <v>3.4065584208850683E-2</v>
      </c>
      <c r="D29" s="184"/>
      <c r="E29" s="49">
        <f ca="1">OFFSET(TblMili[[#This Row],[Unit 1]],-1,0) + OFFSET(TblMili[[#This Row],[Train Unit 1]],-9,0) - TblMili[[#This Row],[Release Unit 1]]</f>
        <v>0</v>
      </c>
      <c r="F29" s="49">
        <f ca="1">OFFSET(TblMili[[#This Row],[Unit 2]],-1,0) + OFFSET(TblMili[[#This Row],[Train Unit 2]],-9,0)-TblMili[[#This Row],[Release Unit 2]]</f>
        <v>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7480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9" s="319">
        <f ca="1">TblMili[[#This Row],[Non Draft]]+TblMili[[#This Row],[Draftees]]</f>
        <v>57</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0</v>
      </c>
      <c r="V29" s="319">
        <f ca="1">TblMili[[#This Row],[Draft]] * (1 + TblMili[[#This Row],[Mods_Def]])</f>
        <v>57</v>
      </c>
      <c r="W29" s="319">
        <f ca="1">TblConstr[[#This Row],[Land]]</f>
        <v>299</v>
      </c>
      <c r="X29" s="322"/>
      <c r="Y29" s="327">
        <f ca="1">IF(TblMili[[#This Row],[Set]]&lt;&gt;"",TblMili[[#This Row],[Set]],OFFSET(TblMili[[#This Row],[Draftrate]],-1,0))</f>
        <v>0.9</v>
      </c>
      <c r="Z29" s="113">
        <f ca="1">OFFSET(TblMili[[#This Row],[Draftees]],-1,0)+OFFSET(TblPop[[#This Row],[Draft Growth]],-1,0) - SUM(TblMili[[#This Row],[Train Unit 1]:[Train Wiz]]) - TblMili[[#This Row],[Release Draft]] + SUM(TblMili[[#This Row],[Release Unit 1]:[Release Arch]]) -TblExplore[[#This Row],[Draftees (2)]]</f>
        <v>57</v>
      </c>
      <c r="AA29" s="200"/>
      <c r="AB29" s="234">
        <f ca="1">(TblConstr[[#This Row],[Tot Smi]]+TblConstr[[#This Row],[Dest Smi]])/(TblConstr[[#This Row],[Land]]-TblExplore[[#This Row],[Land Bonus]]*20)</f>
        <v>0</v>
      </c>
      <c r="AC29" s="178"/>
      <c r="AD29" s="318">
        <f>TblMili[[#This Row],[Hour]]</f>
        <v>26</v>
      </c>
      <c r="AE29" s="179">
        <f ca="1">TblExplore[[#This Row],[Time]]</f>
        <v>44405.791666666606</v>
      </c>
      <c r="AF29" s="232"/>
      <c r="AG29" s="232"/>
      <c r="AH29" s="232"/>
      <c r="AI29" s="232"/>
      <c r="AJ29" s="232"/>
      <c r="AK29" s="232"/>
      <c r="AL29" s="232"/>
      <c r="AM29" s="184"/>
      <c r="AN29" s="113">
        <f ca="1">TblProd[[#This Row],[Platinum]]</f>
        <v>40192</v>
      </c>
      <c r="AO29" s="113">
        <f ca="1">INDEX(TblProd[[#Headers],[Lumber]]:TblProd[[#This Row],[Ore]],COUNTA(TblProd[[#Headers],[Lumber]]:TblProd[[#This Row],[Lumber]]),MATCH(Military!$AO$2,TblProd[[#Headers],[Lumber]:[Ore]],0))</f>
        <v>2400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44405.791666666606</v>
      </c>
      <c r="AT29" s="113">
        <f ca="1">TblMili[[#This Row],[Draftees]]</f>
        <v>57</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0.5317725752508361</v>
      </c>
      <c r="BS29" s="208">
        <f ca="1">TblMili[[#This Row],[WG''s]]</f>
        <v>0</v>
      </c>
      <c r="BT29" s="323">
        <f ca="1">IF(mystic_cap="none",TblMili[[#This Row],[Hill]]/mystic_bonus,MIN(mystic_cap,TblMili[[#This Row],[Hill]]/mystic_bonus))</f>
        <v>2.6588628762541804</v>
      </c>
      <c r="BU29" s="323">
        <f ca="1">IF(druid_op_cap="none",TblMili[[#This Row],[Hill]]/druid_op_bonus,MIN(druid_op_cap,TblMili[[#This Row],[Hill]]/druid_op_bonus))</f>
        <v>2.6588628762541804</v>
      </c>
      <c r="BV29" s="323">
        <f ca="1">IF(druid_dp_cap="none",TblMili[[#This Row],[Hill]]/druid_dp_bonus,MIN(druid_dp_cap,TblMili[[#This Row],[Hill]]/druid_dp_bonus))</f>
        <v>2.6588628762541804</v>
      </c>
      <c r="BW29" s="323">
        <f ca="1">MIN(dryad_cap,TblMili[[#This Row],[Hill]]/dryad_bonus)</f>
        <v>2.6588628762541804</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2.6588628762541804</v>
      </c>
      <c r="CD29" s="59">
        <f ca="1">MIN(ice_elem_cap,TblMili[[#This Row],[Raw (2)]]*ice_elem_bonus)</f>
        <v>8.3612040133779264E-2</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3.7317725752508357</v>
      </c>
      <c r="CK29"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29" s="113">
        <f ca="1">TblMili[[#This Row],[Mystic bonus]]*TblMili[[#This Row],[Unit 3]]+TblMili[[#This Row],[Druid bonus]]*TblMili[[#This Row],[Unit 4]]</f>
        <v>0</v>
      </c>
      <c r="CM29" s="201">
        <f ca="1">MIN(6,TblMili[[#This Row],[Dryad]]+Races!$F$35)*1.8 +  IF(TblMili[[#This Row],[Dryad]]+Races!$F$35&gt;6,(TblMili[[#This Row],[Dryad]]+Races!$F$35-6)*0.2,0) - Races!$I$19</f>
        <v>2.9859531772575254</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4.7859531772575252</v>
      </c>
      <c r="CT29" s="201">
        <f ca="1">1.8 * MIN(MAX(TblMili[[#This Row],[Ice Elemental]]+Races!$E$71,Races!$F$71),6)  +  0.45 * MIN(MIN(TblMili[[#This Row],[Ice Elemental]]+Races!$E$71,Races!$F$71),6)  +  0.2 * ( MAX(TblMili[[#This Row],[Ice Elemental]]+Races!$E$71-6,0) + MAX(Races!$F$71-6,0) )  -  Races!$I$71</f>
        <v>0.15050167224080369</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29" s="184"/>
      <c r="DA29" s="326">
        <f ca="1">(TblMili[[#This Row],[Wizards]]+2*TblMili[[#This Row],[Archmages]])/TblConstr[[#This Row],[Land]]</f>
        <v>8.3612040133779264E-2</v>
      </c>
      <c r="DB29" s="326">
        <f ca="1">TblMili[[#This Row],[Raw (2)]]*(1+race_wizard_strength+IF(TblMili[[#This Row],[Hour]]&gt;72,tech_magical_weaponry_wiz*TblTech[[#This Row],[3-5]],0))</f>
        <v>8.3612040133779264E-2</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137</v>
      </c>
      <c r="C30" s="203">
        <f ca="1">TblPop[[#This Row],[Military%]]</f>
        <v>4.1364734299516911E-2</v>
      </c>
      <c r="D30" s="184"/>
      <c r="E30" s="49">
        <f ca="1">OFFSET(TblMili[[#This Row],[Unit 1]],-1,0) + OFFSET(TblMili[[#This Row],[Train Unit 1]],-9,0) - TblMili[[#This Row],[Release Unit 1]]</f>
        <v>0</v>
      </c>
      <c r="F30" s="49">
        <f ca="1">OFFSET(TblMili[[#This Row],[Unit 2]],-1,0) + OFFSET(TblMili[[#This Row],[Train Unit 2]],-9,0)-TblMili[[#This Row],[Release Unit 2]]</f>
        <v>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7480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0" s="319">
        <f ca="1">TblMili[[#This Row],[Non Draft]]+TblMili[[#This Row],[Draftees]]</f>
        <v>87</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0</v>
      </c>
      <c r="V30" s="319">
        <f ca="1">TblMili[[#This Row],[Draft]] * (1 + TblMili[[#This Row],[Mods_Def]])</f>
        <v>87</v>
      </c>
      <c r="W30" s="319">
        <f ca="1">TblConstr[[#This Row],[Land]]</f>
        <v>299</v>
      </c>
      <c r="X30" s="322"/>
      <c r="Y30" s="327">
        <f ca="1">IF(TblMili[[#This Row],[Set]]&lt;&gt;"",TblMili[[#This Row],[Set]],OFFSET(TblMili[[#This Row],[Draftrate]],-1,0))</f>
        <v>0.9</v>
      </c>
      <c r="Z30" s="113">
        <f ca="1">OFFSET(TblMili[[#This Row],[Draftees]],-1,0)+OFFSET(TblPop[[#This Row],[Draft Growth]],-1,0) - SUM(TblMili[[#This Row],[Train Unit 1]:[Train Wiz]]) - TblMili[[#This Row],[Release Draft]] + SUM(TblMili[[#This Row],[Release Unit 1]:[Release Arch]]) -TblExplore[[#This Row],[Draftees (2)]]</f>
        <v>87</v>
      </c>
      <c r="AA30" s="200"/>
      <c r="AB30" s="234">
        <f ca="1">(TblConstr[[#This Row],[Tot Smi]]+TblConstr[[#This Row],[Dest Smi]])/(TblConstr[[#This Row],[Land]]-TblExplore[[#This Row],[Land Bonus]]*20)</f>
        <v>0</v>
      </c>
      <c r="AC30" s="178"/>
      <c r="AD30" s="318">
        <f>TblMili[[#This Row],[Hour]]</f>
        <v>27</v>
      </c>
      <c r="AE30" s="179">
        <f ca="1">TblExplore[[#This Row],[Time]]</f>
        <v>44405.83333333327</v>
      </c>
      <c r="AF30" s="232"/>
      <c r="AG30" s="232"/>
      <c r="AH30" s="232"/>
      <c r="AI30" s="232"/>
      <c r="AJ30" s="232"/>
      <c r="AK30" s="232"/>
      <c r="AL30" s="232"/>
      <c r="AM30" s="184"/>
      <c r="AN30" s="113">
        <f ca="1">TblProd[[#This Row],[Platinum]]</f>
        <v>52667</v>
      </c>
      <c r="AO30" s="113">
        <f ca="1">INDEX(TblProd[[#Headers],[Lumber]]:TblProd[[#This Row],[Ore]],COUNTA(TblProd[[#Headers],[Lumber]]:TblProd[[#This Row],[Lumber]]),MATCH(Military!$AO$2,TblProd[[#Headers],[Lumber]:[Ore]],0))</f>
        <v>3600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44405.83333333327</v>
      </c>
      <c r="AT30" s="113">
        <f ca="1">TblMili[[#This Row],[Draftees]]</f>
        <v>87</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0.5317725752508361</v>
      </c>
      <c r="BS30" s="208">
        <f ca="1">TblMili[[#This Row],[WG''s]]</f>
        <v>0</v>
      </c>
      <c r="BT30" s="323">
        <f ca="1">IF(mystic_cap="none",TblMili[[#This Row],[Hill]]/mystic_bonus,MIN(mystic_cap,TblMili[[#This Row],[Hill]]/mystic_bonus))</f>
        <v>2.6588628762541804</v>
      </c>
      <c r="BU30" s="323">
        <f ca="1">IF(druid_op_cap="none",TblMili[[#This Row],[Hill]]/druid_op_bonus,MIN(druid_op_cap,TblMili[[#This Row],[Hill]]/druid_op_bonus))</f>
        <v>2.6588628762541804</v>
      </c>
      <c r="BV30" s="323">
        <f ca="1">IF(druid_dp_cap="none",TblMili[[#This Row],[Hill]]/druid_dp_bonus,MIN(druid_dp_cap,TblMili[[#This Row],[Hill]]/druid_dp_bonus))</f>
        <v>2.6588628762541804</v>
      </c>
      <c r="BW30" s="323">
        <f ca="1">MIN(dryad_cap,TblMili[[#This Row],[Hill]]/dryad_bonus)</f>
        <v>2.6588628762541804</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2.6588628762541804</v>
      </c>
      <c r="CD30" s="59">
        <f ca="1">MIN(ice_elem_cap,TblMili[[#This Row],[Raw (2)]]*ice_elem_bonus)</f>
        <v>8.3612040133779264E-2</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3.7317725752508357</v>
      </c>
      <c r="CK30"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0" s="113">
        <f ca="1">TblMili[[#This Row],[Mystic bonus]]*TblMili[[#This Row],[Unit 3]]+TblMili[[#This Row],[Druid bonus]]*TblMili[[#This Row],[Unit 4]]</f>
        <v>0</v>
      </c>
      <c r="CM30" s="201">
        <f ca="1">MIN(6,TblMili[[#This Row],[Dryad]]+Races!$F$35)*1.8 +  IF(TblMili[[#This Row],[Dryad]]+Races!$F$35&gt;6,(TblMili[[#This Row],[Dryad]]+Races!$F$35-6)*0.2,0) - Races!$I$19</f>
        <v>2.9859531772575254</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4.7859531772575252</v>
      </c>
      <c r="CT30" s="201">
        <f ca="1">1.8 * MIN(MAX(TblMili[[#This Row],[Ice Elemental]]+Races!$E$71,Races!$F$71),6)  +  0.45 * MIN(MIN(TblMili[[#This Row],[Ice Elemental]]+Races!$E$71,Races!$F$71),6)  +  0.2 * ( MAX(TblMili[[#This Row],[Ice Elemental]]+Races!$E$71-6,0) + MAX(Races!$F$71-6,0) )  -  Races!$I$71</f>
        <v>0.15050167224080369</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0" s="184"/>
      <c r="DA30" s="326">
        <f ca="1">(TblMili[[#This Row],[Wizards]]+2*TblMili[[#This Row],[Archmages]])/TblConstr[[#This Row],[Land]]</f>
        <v>8.3612040133779264E-2</v>
      </c>
      <c r="DB30" s="326">
        <f ca="1">TblMili[[#This Row],[Raw (2)]]*(1+race_wizard_strength+IF(TblMili[[#This Row],[Hour]]&gt;72,tech_magical_weaponry_wiz*TblTech[[#This Row],[3-5]],0))</f>
        <v>8.3612040133779264E-2</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169</v>
      </c>
      <c r="C31" s="203">
        <f ca="1">TblPop[[#This Row],[Military%]]</f>
        <v>4.8410197651102833E-2</v>
      </c>
      <c r="D31" s="184"/>
      <c r="E31" s="49">
        <f ca="1">OFFSET(TblMili[[#This Row],[Unit 1]],-1,0) + OFFSET(TblMili[[#This Row],[Train Unit 1]],-9,0) - TblMili[[#This Row],[Release Unit 1]]</f>
        <v>0</v>
      </c>
      <c r="F31" s="49">
        <f ca="1">OFFSET(TblMili[[#This Row],[Unit 2]],-1,0) + OFFSET(TblMili[[#This Row],[Train Unit 2]],-9,0)-TblMili[[#This Row],[Release Unit 2]]</f>
        <v>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7480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1" s="319">
        <f ca="1">TblMili[[#This Row],[Non Draft]]+TblMili[[#This Row],[Draftees]]</f>
        <v>119</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0</v>
      </c>
      <c r="V31" s="319">
        <f ca="1">TblMili[[#This Row],[Draft]] * (1 + TblMili[[#This Row],[Mods_Def]])</f>
        <v>119</v>
      </c>
      <c r="W31" s="319">
        <f ca="1">TblConstr[[#This Row],[Land]]</f>
        <v>299</v>
      </c>
      <c r="X31" s="322"/>
      <c r="Y31" s="327">
        <f ca="1">IF(TblMili[[#This Row],[Set]]&lt;&gt;"",TblMili[[#This Row],[Set]],OFFSET(TblMili[[#This Row],[Draftrate]],-1,0))</f>
        <v>0.9</v>
      </c>
      <c r="Z31" s="113">
        <f ca="1">OFFSET(TblMili[[#This Row],[Draftees]],-1,0)+OFFSET(TblPop[[#This Row],[Draft Growth]],-1,0) - SUM(TblMili[[#This Row],[Train Unit 1]:[Train Wiz]]) - TblMili[[#This Row],[Release Draft]] + SUM(TblMili[[#This Row],[Release Unit 1]:[Release Arch]]) -TblExplore[[#This Row],[Draftees (2)]]</f>
        <v>119</v>
      </c>
      <c r="AA31" s="200"/>
      <c r="AB31" s="234">
        <f ca="1">(TblConstr[[#This Row],[Tot Smi]]+TblConstr[[#This Row],[Dest Smi]])/(TblConstr[[#This Row],[Land]]-TblExplore[[#This Row],[Land Bonus]]*20)</f>
        <v>0</v>
      </c>
      <c r="AC31" s="178"/>
      <c r="AD31" s="318">
        <f>TblMili[[#This Row],[Hour]]</f>
        <v>28</v>
      </c>
      <c r="AE31" s="179">
        <f ca="1">TblExplore[[#This Row],[Time]]</f>
        <v>44405.874999999935</v>
      </c>
      <c r="AF31" s="232"/>
      <c r="AG31" s="232"/>
      <c r="AH31" s="232"/>
      <c r="AI31" s="232"/>
      <c r="AJ31" s="232"/>
      <c r="AK31" s="232"/>
      <c r="AL31" s="232"/>
      <c r="AM31" s="184"/>
      <c r="AN31" s="113">
        <f ca="1">TblProd[[#This Row],[Platinum]]</f>
        <v>65561</v>
      </c>
      <c r="AO31" s="113">
        <f ca="1">INDEX(TblProd[[#Headers],[Lumber]]:TblProd[[#This Row],[Ore]],COUNTA(TblProd[[#Headers],[Lumber]]:TblProd[[#This Row],[Lumber]]),MATCH(Military!$AO$2,TblProd[[#Headers],[Lumber]:[Ore]],0))</f>
        <v>4800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44405.874999999935</v>
      </c>
      <c r="AT31" s="113">
        <f ca="1">TblMili[[#This Row],[Draftees]]</f>
        <v>119</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0.5317725752508361</v>
      </c>
      <c r="BS31" s="208">
        <f ca="1">TblMili[[#This Row],[WG''s]]</f>
        <v>0</v>
      </c>
      <c r="BT31" s="323">
        <f ca="1">IF(mystic_cap="none",TblMili[[#This Row],[Hill]]/mystic_bonus,MIN(mystic_cap,TblMili[[#This Row],[Hill]]/mystic_bonus))</f>
        <v>2.6588628762541804</v>
      </c>
      <c r="BU31" s="323">
        <f ca="1">IF(druid_op_cap="none",TblMili[[#This Row],[Hill]]/druid_op_bonus,MIN(druid_op_cap,TblMili[[#This Row],[Hill]]/druid_op_bonus))</f>
        <v>2.6588628762541804</v>
      </c>
      <c r="BV31" s="323">
        <f ca="1">IF(druid_dp_cap="none",TblMili[[#This Row],[Hill]]/druid_dp_bonus,MIN(druid_dp_cap,TblMili[[#This Row],[Hill]]/druid_dp_bonus))</f>
        <v>2.6588628762541804</v>
      </c>
      <c r="BW31" s="323">
        <f ca="1">MIN(dryad_cap,TblMili[[#This Row],[Hill]]/dryad_bonus)</f>
        <v>2.6588628762541804</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2.6588628762541804</v>
      </c>
      <c r="CD31" s="59">
        <f ca="1">MIN(ice_elem_cap,TblMili[[#This Row],[Raw (2)]]*ice_elem_bonus)</f>
        <v>8.3612040133779264E-2</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3.7317725752508357</v>
      </c>
      <c r="CK31"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1" s="113">
        <f ca="1">TblMili[[#This Row],[Mystic bonus]]*TblMili[[#This Row],[Unit 3]]+TblMili[[#This Row],[Druid bonus]]*TblMili[[#This Row],[Unit 4]]</f>
        <v>0</v>
      </c>
      <c r="CM31" s="201">
        <f ca="1">MIN(6,TblMili[[#This Row],[Dryad]]+Races!$F$35)*1.8 +  IF(TblMili[[#This Row],[Dryad]]+Races!$F$35&gt;6,(TblMili[[#This Row],[Dryad]]+Races!$F$35-6)*0.2,0) - Races!$I$19</f>
        <v>2.9859531772575254</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4.7859531772575252</v>
      </c>
      <c r="CT31" s="201">
        <f ca="1">1.8 * MIN(MAX(TblMili[[#This Row],[Ice Elemental]]+Races!$E$71,Races!$F$71),6)  +  0.45 * MIN(MIN(TblMili[[#This Row],[Ice Elemental]]+Races!$E$71,Races!$F$71),6)  +  0.2 * ( MAX(TblMili[[#This Row],[Ice Elemental]]+Races!$E$71-6,0) + MAX(Races!$F$71-6,0) )  -  Races!$I$71</f>
        <v>0.15050167224080369</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1" s="184"/>
      <c r="DA31" s="326">
        <f ca="1">(TblMili[[#This Row],[Wizards]]+2*TblMili[[#This Row],[Archmages]])/TblConstr[[#This Row],[Land]]</f>
        <v>8.3612040133779264E-2</v>
      </c>
      <c r="DB31" s="326">
        <f ca="1">TblMili[[#This Row],[Raw (2)]]*(1+race_wizard_strength+IF(TblMili[[#This Row],[Hour]]&gt;72,tech_magical_weaponry_wiz*TblTech[[#This Row],[3-5]],0))</f>
        <v>8.3612040133779264E-2</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202</v>
      </c>
      <c r="C32" s="203">
        <f ca="1">TblPop[[#This Row],[Military%]]</f>
        <v>5.4906224517531937E-2</v>
      </c>
      <c r="D32" s="184"/>
      <c r="E32" s="49">
        <f ca="1">OFFSET(TblMili[[#This Row],[Unit 1]],-1,0) + OFFSET(TblMili[[#This Row],[Train Unit 1]],-9,0) - TblMili[[#This Row],[Release Unit 1]]</f>
        <v>0</v>
      </c>
      <c r="F32" s="49">
        <f ca="1">OFFSET(TblMili[[#This Row],[Unit 2]],-1,0) + OFFSET(TblMili[[#This Row],[Train Unit 2]],-9,0)-TblMili[[#This Row],[Release Unit 2]]</f>
        <v>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7480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2" s="319">
        <f ca="1">TblMili[[#This Row],[Non Draft]]+TblMili[[#This Row],[Draftees]]</f>
        <v>152</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0</v>
      </c>
      <c r="V32" s="319">
        <f ca="1">TblMili[[#This Row],[Draft]] * (1 + TblMili[[#This Row],[Mods_Def]])</f>
        <v>152</v>
      </c>
      <c r="W32" s="319">
        <f ca="1">TblConstr[[#This Row],[Land]]</f>
        <v>299</v>
      </c>
      <c r="X32" s="322"/>
      <c r="Y32" s="327">
        <f ca="1">IF(TblMili[[#This Row],[Set]]&lt;&gt;"",TblMili[[#This Row],[Set]],OFFSET(TblMili[[#This Row],[Draftrate]],-1,0))</f>
        <v>0.9</v>
      </c>
      <c r="Z32" s="113">
        <f ca="1">OFFSET(TblMili[[#This Row],[Draftees]],-1,0)+OFFSET(TblPop[[#This Row],[Draft Growth]],-1,0) - SUM(TblMili[[#This Row],[Train Unit 1]:[Train Wiz]]) - TblMili[[#This Row],[Release Draft]] + SUM(TblMili[[#This Row],[Release Unit 1]:[Release Arch]]) -TblExplore[[#This Row],[Draftees (2)]]</f>
        <v>152</v>
      </c>
      <c r="AA32" s="200"/>
      <c r="AB32" s="234">
        <f ca="1">(TblConstr[[#This Row],[Tot Smi]]+TblConstr[[#This Row],[Dest Smi]])/(TblConstr[[#This Row],[Land]]-TblExplore[[#This Row],[Land Bonus]]*20)</f>
        <v>0</v>
      </c>
      <c r="AC32" s="178"/>
      <c r="AD32" s="318">
        <f>TblMili[[#This Row],[Hour]]</f>
        <v>29</v>
      </c>
      <c r="AE32" s="179">
        <f ca="1">TblExplore[[#This Row],[Time]]</f>
        <v>44405.916666666599</v>
      </c>
      <c r="AF32" s="232"/>
      <c r="AG32" s="232"/>
      <c r="AH32" s="232"/>
      <c r="AI32" s="232"/>
      <c r="AJ32" s="232"/>
      <c r="AK32" s="232"/>
      <c r="AL32" s="232"/>
      <c r="AM32" s="184"/>
      <c r="AN32" s="113">
        <f ca="1">TblProd[[#This Row],[Platinum]]</f>
        <v>78892</v>
      </c>
      <c r="AO32" s="113">
        <f ca="1">INDEX(TblProd[[#Headers],[Lumber]]:TblProd[[#This Row],[Ore]],COUNTA(TblProd[[#Headers],[Lumber]]:TblProd[[#This Row],[Lumber]]),MATCH(Military!$AO$2,TblProd[[#Headers],[Lumber]:[Ore]],0))</f>
        <v>6000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44405.916666666599</v>
      </c>
      <c r="AT32" s="113">
        <f ca="1">TblMili[[#This Row],[Draftees]]</f>
        <v>152</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0.5317725752508361</v>
      </c>
      <c r="BS32" s="208">
        <f ca="1">TblMili[[#This Row],[WG''s]]</f>
        <v>0</v>
      </c>
      <c r="BT32" s="323">
        <f ca="1">IF(mystic_cap="none",TblMili[[#This Row],[Hill]]/mystic_bonus,MIN(mystic_cap,TblMili[[#This Row],[Hill]]/mystic_bonus))</f>
        <v>2.6588628762541804</v>
      </c>
      <c r="BU32" s="323">
        <f ca="1">IF(druid_op_cap="none",TblMili[[#This Row],[Hill]]/druid_op_bonus,MIN(druid_op_cap,TblMili[[#This Row],[Hill]]/druid_op_bonus))</f>
        <v>2.6588628762541804</v>
      </c>
      <c r="BV32" s="323">
        <f ca="1">IF(druid_dp_cap="none",TblMili[[#This Row],[Hill]]/druid_dp_bonus,MIN(druid_dp_cap,TblMili[[#This Row],[Hill]]/druid_dp_bonus))</f>
        <v>2.6588628762541804</v>
      </c>
      <c r="BW32" s="323">
        <f ca="1">MIN(dryad_cap,TblMili[[#This Row],[Hill]]/dryad_bonus)</f>
        <v>2.6588628762541804</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2.6588628762541804</v>
      </c>
      <c r="CD32" s="59">
        <f ca="1">MIN(ice_elem_cap,TblMili[[#This Row],[Raw (2)]]*ice_elem_bonus)</f>
        <v>8.3612040133779264E-2</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3.7317725752508357</v>
      </c>
      <c r="CK32"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2" s="113">
        <f ca="1">TblMili[[#This Row],[Mystic bonus]]*TblMili[[#This Row],[Unit 3]]+TblMili[[#This Row],[Druid bonus]]*TblMili[[#This Row],[Unit 4]]</f>
        <v>0</v>
      </c>
      <c r="CM32" s="201">
        <f ca="1">MIN(6,TblMili[[#This Row],[Dryad]]+Races!$F$35)*1.8 +  IF(TblMili[[#This Row],[Dryad]]+Races!$F$35&gt;6,(TblMili[[#This Row],[Dryad]]+Races!$F$35-6)*0.2,0) - Races!$I$19</f>
        <v>2.9859531772575254</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4.7859531772575252</v>
      </c>
      <c r="CT32" s="201">
        <f ca="1">1.8 * MIN(MAX(TblMili[[#This Row],[Ice Elemental]]+Races!$E$71,Races!$F$71),6)  +  0.45 * MIN(MIN(TblMili[[#This Row],[Ice Elemental]]+Races!$E$71,Races!$F$71),6)  +  0.2 * ( MAX(TblMili[[#This Row],[Ice Elemental]]+Races!$E$71-6,0) + MAX(Races!$F$71-6,0) )  -  Races!$I$71</f>
        <v>0.15050167224080369</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2" s="184"/>
      <c r="DA32" s="326">
        <f ca="1">(TblMili[[#This Row],[Wizards]]+2*TblMili[[#This Row],[Archmages]])/TblConstr[[#This Row],[Land]]</f>
        <v>8.3612040133779264E-2</v>
      </c>
      <c r="DB32" s="326">
        <f ca="1">TblMili[[#This Row],[Raw (2)]]*(1+race_wizard_strength+IF(TblMili[[#This Row],[Hour]]&gt;72,tech_magical_weaponry_wiz*TblTech[[#This Row],[3-5]],0))</f>
        <v>8.3612040133779264E-2</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237</v>
      </c>
      <c r="C33" s="203">
        <f ca="1">TblPop[[#This Row],[Military%]]</f>
        <v>6.1161290322580643E-2</v>
      </c>
      <c r="D33" s="184"/>
      <c r="E33" s="49">
        <f ca="1">OFFSET(TblMili[[#This Row],[Unit 1]],-1,0) + OFFSET(TblMili[[#This Row],[Train Unit 1]],-9,0) - TblMili[[#This Row],[Release Unit 1]]</f>
        <v>0</v>
      </c>
      <c r="F33" s="49">
        <f ca="1">OFFSET(TblMili[[#This Row],[Unit 2]],-1,0) + OFFSET(TblMili[[#This Row],[Train Unit 2]],-9,0)-TblMili[[#This Row],[Release Unit 2]]</f>
        <v>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7480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3" s="319">
        <f ca="1">TblMili[[#This Row],[Non Draft]]+TblMili[[#This Row],[Draftees]]</f>
        <v>187</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0</v>
      </c>
      <c r="V33" s="319">
        <f ca="1">TblMili[[#This Row],[Draft]] * (1 + TblMili[[#This Row],[Mods_Def]])</f>
        <v>187</v>
      </c>
      <c r="W33" s="319">
        <f ca="1">TblConstr[[#This Row],[Land]]</f>
        <v>299</v>
      </c>
      <c r="X33" s="322"/>
      <c r="Y33" s="327">
        <f ca="1">IF(TblMili[[#This Row],[Set]]&lt;&gt;"",TblMili[[#This Row],[Set]],OFFSET(TblMili[[#This Row],[Draftrate]],-1,0))</f>
        <v>0.9</v>
      </c>
      <c r="Z33" s="113">
        <f ca="1">OFFSET(TblMili[[#This Row],[Draftees]],-1,0)+OFFSET(TblPop[[#This Row],[Draft Growth]],-1,0) - SUM(TblMili[[#This Row],[Train Unit 1]:[Train Wiz]]) - TblMili[[#This Row],[Release Draft]] + SUM(TblMili[[#This Row],[Release Unit 1]:[Release Arch]]) -TblExplore[[#This Row],[Draftees (2)]]</f>
        <v>187</v>
      </c>
      <c r="AA33" s="200"/>
      <c r="AB33" s="234">
        <f ca="1">(TblConstr[[#This Row],[Tot Smi]]+TblConstr[[#This Row],[Dest Smi]])/(TblConstr[[#This Row],[Land]]-TblExplore[[#This Row],[Land Bonus]]*20)</f>
        <v>0</v>
      </c>
      <c r="AC33" s="178"/>
      <c r="AD33" s="318">
        <f>TblMili[[#This Row],[Hour]]</f>
        <v>30</v>
      </c>
      <c r="AE33" s="179">
        <f ca="1">TblExplore[[#This Row],[Time]]</f>
        <v>44405.958333333263</v>
      </c>
      <c r="AF33" s="232"/>
      <c r="AG33" s="232"/>
      <c r="AH33" s="232"/>
      <c r="AI33" s="232"/>
      <c r="AJ33" s="232"/>
      <c r="AK33" s="232"/>
      <c r="AL33" s="232"/>
      <c r="AM33" s="184"/>
      <c r="AN33" s="113">
        <f ca="1">TblProd[[#This Row],[Platinum]]</f>
        <v>92683</v>
      </c>
      <c r="AO33" s="113">
        <f ca="1">INDEX(TblProd[[#Headers],[Lumber]]:TblProd[[#This Row],[Ore]],COUNTA(TblProd[[#Headers],[Lumber]]:TblProd[[#This Row],[Lumber]]),MATCH(Military!$AO$2,TblProd[[#Headers],[Lumber]:[Ore]],0))</f>
        <v>7200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44405.958333333263</v>
      </c>
      <c r="AT33" s="113">
        <f ca="1">TblMili[[#This Row],[Draftees]]</f>
        <v>187</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0.5317725752508361</v>
      </c>
      <c r="BS33" s="208">
        <f ca="1">TblMili[[#This Row],[WG''s]]</f>
        <v>0</v>
      </c>
      <c r="BT33" s="323">
        <f ca="1">IF(mystic_cap="none",TblMili[[#This Row],[Hill]]/mystic_bonus,MIN(mystic_cap,TblMili[[#This Row],[Hill]]/mystic_bonus))</f>
        <v>2.6588628762541804</v>
      </c>
      <c r="BU33" s="323">
        <f ca="1">IF(druid_op_cap="none",TblMili[[#This Row],[Hill]]/druid_op_bonus,MIN(druid_op_cap,TblMili[[#This Row],[Hill]]/druid_op_bonus))</f>
        <v>2.6588628762541804</v>
      </c>
      <c r="BV33" s="323">
        <f ca="1">IF(druid_dp_cap="none",TblMili[[#This Row],[Hill]]/druid_dp_bonus,MIN(druid_dp_cap,TblMili[[#This Row],[Hill]]/druid_dp_bonus))</f>
        <v>2.6588628762541804</v>
      </c>
      <c r="BW33" s="323">
        <f ca="1">MIN(dryad_cap,TblMili[[#This Row],[Hill]]/dryad_bonus)</f>
        <v>2.6588628762541804</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2.6588628762541804</v>
      </c>
      <c r="CD33" s="59">
        <f ca="1">MIN(ice_elem_cap,TblMili[[#This Row],[Raw (2)]]*ice_elem_bonus)</f>
        <v>8.3612040133779264E-2</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3.7317725752508357</v>
      </c>
      <c r="CK33"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3" s="113">
        <f ca="1">TblMili[[#This Row],[Mystic bonus]]*TblMili[[#This Row],[Unit 3]]+TblMili[[#This Row],[Druid bonus]]*TblMili[[#This Row],[Unit 4]]</f>
        <v>0</v>
      </c>
      <c r="CM33" s="201">
        <f ca="1">MIN(6,TblMili[[#This Row],[Dryad]]+Races!$F$35)*1.8 +  IF(TblMili[[#This Row],[Dryad]]+Races!$F$35&gt;6,(TblMili[[#This Row],[Dryad]]+Races!$F$35-6)*0.2,0) - Races!$I$19</f>
        <v>2.9859531772575254</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4.7859531772575252</v>
      </c>
      <c r="CT33" s="201">
        <f ca="1">1.8 * MIN(MAX(TblMili[[#This Row],[Ice Elemental]]+Races!$E$71,Races!$F$71),6)  +  0.45 * MIN(MIN(TblMili[[#This Row],[Ice Elemental]]+Races!$E$71,Races!$F$71),6)  +  0.2 * ( MAX(TblMili[[#This Row],[Ice Elemental]]+Races!$E$71-6,0) + MAX(Races!$F$71-6,0) )  -  Races!$I$71</f>
        <v>0.15050167224080369</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3" s="184"/>
      <c r="DA33" s="326">
        <f ca="1">(TblMili[[#This Row],[Wizards]]+2*TblMili[[#This Row],[Archmages]])/TblConstr[[#This Row],[Land]]</f>
        <v>8.3612040133779264E-2</v>
      </c>
      <c r="DB33" s="326">
        <f ca="1">TblMili[[#This Row],[Raw (2)]]*(1+race_wizard_strength+IF(TblMili[[#This Row],[Hour]]&gt;72,tech_magical_weaponry_wiz*TblTech[[#This Row],[3-5]],0))</f>
        <v>8.3612040133779264E-2</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273</v>
      </c>
      <c r="C34" s="203">
        <f ca="1">TblPop[[#This Row],[Military%]]</f>
        <v>6.6911764705882351E-2</v>
      </c>
      <c r="D34" s="184"/>
      <c r="E34" s="49">
        <f ca="1">OFFSET(TblMili[[#This Row],[Unit 1]],-1,0) + OFFSET(TblMili[[#This Row],[Train Unit 1]],-9,0) - TblMili[[#This Row],[Release Unit 1]]</f>
        <v>0</v>
      </c>
      <c r="F34" s="49">
        <f ca="1">OFFSET(TblMili[[#This Row],[Unit 2]],-1,0) + OFFSET(TblMili[[#This Row],[Train Unit 2]],-9,0)-TblMili[[#This Row],[Release Unit 2]]</f>
        <v>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7480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4" s="319">
        <f ca="1">TblMili[[#This Row],[Non Draft]]+TblMili[[#This Row],[Draftees]]</f>
        <v>223</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0</v>
      </c>
      <c r="V34" s="319">
        <f ca="1">TblMili[[#This Row],[Draft]] * (1 + TblMili[[#This Row],[Mods_Def]])</f>
        <v>223</v>
      </c>
      <c r="W34" s="319">
        <f ca="1">TblConstr[[#This Row],[Land]]</f>
        <v>299</v>
      </c>
      <c r="X34" s="322"/>
      <c r="Y34" s="327">
        <f ca="1">IF(TblMili[[#This Row],[Set]]&lt;&gt;"",TblMili[[#This Row],[Set]],OFFSET(TblMili[[#This Row],[Draftrate]],-1,0))</f>
        <v>0.9</v>
      </c>
      <c r="Z34" s="113">
        <f ca="1">OFFSET(TblMili[[#This Row],[Draftees]],-1,0)+OFFSET(TblPop[[#This Row],[Draft Growth]],-1,0) - SUM(TblMili[[#This Row],[Train Unit 1]:[Train Wiz]]) - TblMili[[#This Row],[Release Draft]] + SUM(TblMili[[#This Row],[Release Unit 1]:[Release Arch]]) -TblExplore[[#This Row],[Draftees (2)]]</f>
        <v>223</v>
      </c>
      <c r="AA34" s="200"/>
      <c r="AB34" s="234">
        <f ca="1">(TblConstr[[#This Row],[Tot Smi]]+TblConstr[[#This Row],[Dest Smi]])/(TblConstr[[#This Row],[Land]]-TblExplore[[#This Row],[Land Bonus]]*20)</f>
        <v>0</v>
      </c>
      <c r="AC34" s="178"/>
      <c r="AD34" s="318">
        <f>TblMili[[#This Row],[Hour]]</f>
        <v>31</v>
      </c>
      <c r="AE34" s="179">
        <f ca="1">TblExplore[[#This Row],[Time]]</f>
        <v>44405.999999999927</v>
      </c>
      <c r="AF34" s="232"/>
      <c r="AG34" s="232"/>
      <c r="AH34" s="232"/>
      <c r="AI34" s="232"/>
      <c r="AJ34" s="232"/>
      <c r="AK34" s="232"/>
      <c r="AL34" s="232"/>
      <c r="AM34" s="184"/>
      <c r="AN34" s="113">
        <f ca="1">TblProd[[#This Row],[Platinum]]</f>
        <v>106952</v>
      </c>
      <c r="AO34" s="113">
        <f ca="1">INDEX(TblProd[[#Headers],[Lumber]]:TblProd[[#This Row],[Ore]],COUNTA(TblProd[[#Headers],[Lumber]]:TblProd[[#This Row],[Lumber]]),MATCH(Military!$AO$2,TblProd[[#Headers],[Lumber]:[Ore]],0))</f>
        <v>8400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44405.999999999927</v>
      </c>
      <c r="AT34" s="113">
        <f ca="1">TblMili[[#This Row],[Draftees]]</f>
        <v>223</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0.5317725752508361</v>
      </c>
      <c r="BS34" s="208">
        <f ca="1">TblMili[[#This Row],[WG''s]]</f>
        <v>0</v>
      </c>
      <c r="BT34" s="323">
        <f ca="1">IF(mystic_cap="none",TblMili[[#This Row],[Hill]]/mystic_bonus,MIN(mystic_cap,TblMili[[#This Row],[Hill]]/mystic_bonus))</f>
        <v>2.6588628762541804</v>
      </c>
      <c r="BU34" s="323">
        <f ca="1">IF(druid_op_cap="none",TblMili[[#This Row],[Hill]]/druid_op_bonus,MIN(druid_op_cap,TblMili[[#This Row],[Hill]]/druid_op_bonus))</f>
        <v>2.6588628762541804</v>
      </c>
      <c r="BV34" s="323">
        <f ca="1">IF(druid_dp_cap="none",TblMili[[#This Row],[Hill]]/druid_dp_bonus,MIN(druid_dp_cap,TblMili[[#This Row],[Hill]]/druid_dp_bonus))</f>
        <v>2.6588628762541804</v>
      </c>
      <c r="BW34" s="323">
        <f ca="1">MIN(dryad_cap,TblMili[[#This Row],[Hill]]/dryad_bonus)</f>
        <v>2.6588628762541804</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2.6588628762541804</v>
      </c>
      <c r="CD34" s="59">
        <f ca="1">MIN(ice_elem_cap,TblMili[[#This Row],[Raw (2)]]*ice_elem_bonus)</f>
        <v>8.3612040133779264E-2</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3.7317725752508357</v>
      </c>
      <c r="CK34"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4" s="113">
        <f ca="1">TblMili[[#This Row],[Mystic bonus]]*TblMili[[#This Row],[Unit 3]]+TblMili[[#This Row],[Druid bonus]]*TblMili[[#This Row],[Unit 4]]</f>
        <v>0</v>
      </c>
      <c r="CM34" s="201">
        <f ca="1">MIN(6,TblMili[[#This Row],[Dryad]]+Races!$F$35)*1.8 +  IF(TblMili[[#This Row],[Dryad]]+Races!$F$35&gt;6,(TblMili[[#This Row],[Dryad]]+Races!$F$35-6)*0.2,0) - Races!$I$19</f>
        <v>2.9859531772575254</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4.7859531772575252</v>
      </c>
      <c r="CT34" s="201">
        <f ca="1">1.8 * MIN(MAX(TblMili[[#This Row],[Ice Elemental]]+Races!$E$71,Races!$F$71),6)  +  0.45 * MIN(MIN(TblMili[[#This Row],[Ice Elemental]]+Races!$E$71,Races!$F$71),6)  +  0.2 * ( MAX(TblMili[[#This Row],[Ice Elemental]]+Races!$E$71-6,0) + MAX(Races!$F$71-6,0) )  -  Races!$I$71</f>
        <v>0.15050167224080369</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4" s="184"/>
      <c r="DA34" s="326">
        <f ca="1">(TblMili[[#This Row],[Wizards]]+2*TblMili[[#This Row],[Archmages]])/TblConstr[[#This Row],[Land]]</f>
        <v>8.3612040133779264E-2</v>
      </c>
      <c r="DB34" s="326">
        <f ca="1">TblMili[[#This Row],[Raw (2)]]*(1+race_wizard_strength+IF(TblMili[[#This Row],[Hour]]&gt;72,tech_magical_weaponry_wiz*TblTech[[#This Row],[3-5]],0))</f>
        <v>8.3612040133779264E-2</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311</v>
      </c>
      <c r="C35" s="203">
        <f ca="1">TblPop[[#This Row],[Military%]]</f>
        <v>7.2409778812572753E-2</v>
      </c>
      <c r="D35" s="184"/>
      <c r="E35" s="49">
        <f ca="1">OFFSET(TblMili[[#This Row],[Unit 1]],-1,0) + OFFSET(TblMili[[#This Row],[Train Unit 1]],-9,0) - TblMili[[#This Row],[Release Unit 1]]</f>
        <v>0</v>
      </c>
      <c r="F35" s="49">
        <f ca="1">OFFSET(TblMili[[#This Row],[Unit 2]],-1,0) + OFFSET(TblMili[[#This Row],[Train Unit 2]],-9,0)-TblMili[[#This Row],[Release Unit 2]]</f>
        <v>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7480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5" s="319">
        <f ca="1">TblMili[[#This Row],[Non Draft]]+TblMili[[#This Row],[Draftees]]</f>
        <v>261</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0</v>
      </c>
      <c r="V35" s="319">
        <f ca="1">TblMili[[#This Row],[Draft]] * (1 + TblMili[[#This Row],[Mods_Def]])</f>
        <v>261</v>
      </c>
      <c r="W35" s="319">
        <f ca="1">TblConstr[[#This Row],[Land]]</f>
        <v>299</v>
      </c>
      <c r="X35" s="322"/>
      <c r="Y35" s="327">
        <f ca="1">IF(TblMili[[#This Row],[Set]]&lt;&gt;"",TblMili[[#This Row],[Set]],OFFSET(TblMili[[#This Row],[Draftrate]],-1,0))</f>
        <v>0.9</v>
      </c>
      <c r="Z35" s="113">
        <f ca="1">OFFSET(TblMili[[#This Row],[Draftees]],-1,0)+OFFSET(TblPop[[#This Row],[Draft Growth]],-1,0) - SUM(TblMili[[#This Row],[Train Unit 1]:[Train Wiz]]) - TblMili[[#This Row],[Release Draft]] + SUM(TblMili[[#This Row],[Release Unit 1]:[Release Arch]]) -TblExplore[[#This Row],[Draftees (2)]]</f>
        <v>261</v>
      </c>
      <c r="AA35" s="200"/>
      <c r="AB35" s="234">
        <f ca="1">(TblConstr[[#This Row],[Tot Smi]]+TblConstr[[#This Row],[Dest Smi]])/(TblConstr[[#This Row],[Land]]-TblExplore[[#This Row],[Land Bonus]]*20)</f>
        <v>0</v>
      </c>
      <c r="AC35" s="178"/>
      <c r="AD35" s="318">
        <f>TblMili[[#This Row],[Hour]]</f>
        <v>32</v>
      </c>
      <c r="AE35" s="179">
        <f ca="1">TblExplore[[#This Row],[Time]]</f>
        <v>44406.041666666591</v>
      </c>
      <c r="AF35" s="232"/>
      <c r="AG35" s="232"/>
      <c r="AH35" s="232"/>
      <c r="AI35" s="232"/>
      <c r="AJ35" s="232"/>
      <c r="AK35" s="232"/>
      <c r="AL35" s="232"/>
      <c r="AM35" s="184"/>
      <c r="AN35" s="113">
        <f ca="1">TblProd[[#This Row],[Platinum]]</f>
        <v>121723</v>
      </c>
      <c r="AO35" s="113">
        <f ca="1">INDEX(TblProd[[#Headers],[Lumber]]:TblProd[[#This Row],[Ore]],COUNTA(TblProd[[#Headers],[Lumber]]:TblProd[[#This Row],[Lumber]]),MATCH(Military!$AO$2,TblProd[[#Headers],[Lumber]:[Ore]],0))</f>
        <v>9600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44406.041666666591</v>
      </c>
      <c r="AT35" s="113">
        <f ca="1">TblMili[[#This Row],[Draftees]]</f>
        <v>261</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0.5317725752508361</v>
      </c>
      <c r="BS35" s="208">
        <f ca="1">TblMili[[#This Row],[WG''s]]</f>
        <v>0</v>
      </c>
      <c r="BT35" s="323">
        <f ca="1">IF(mystic_cap="none",TblMili[[#This Row],[Hill]]/mystic_bonus,MIN(mystic_cap,TblMili[[#This Row],[Hill]]/mystic_bonus))</f>
        <v>2.6588628762541804</v>
      </c>
      <c r="BU35" s="323">
        <f ca="1">IF(druid_op_cap="none",TblMili[[#This Row],[Hill]]/druid_op_bonus,MIN(druid_op_cap,TblMili[[#This Row],[Hill]]/druid_op_bonus))</f>
        <v>2.6588628762541804</v>
      </c>
      <c r="BV35" s="323">
        <f ca="1">IF(druid_dp_cap="none",TblMili[[#This Row],[Hill]]/druid_dp_bonus,MIN(druid_dp_cap,TblMili[[#This Row],[Hill]]/druid_dp_bonus))</f>
        <v>2.6588628762541804</v>
      </c>
      <c r="BW35" s="323">
        <f ca="1">MIN(dryad_cap,TblMili[[#This Row],[Hill]]/dryad_bonus)</f>
        <v>2.6588628762541804</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2.6588628762541804</v>
      </c>
      <c r="CD35" s="59">
        <f ca="1">MIN(ice_elem_cap,TblMili[[#This Row],[Raw (2)]]*ice_elem_bonus)</f>
        <v>8.3612040133779264E-2</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3.7317725752508357</v>
      </c>
      <c r="CK35"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5" s="113">
        <f ca="1">TblMili[[#This Row],[Mystic bonus]]*TblMili[[#This Row],[Unit 3]]+TblMili[[#This Row],[Druid bonus]]*TblMili[[#This Row],[Unit 4]]</f>
        <v>0</v>
      </c>
      <c r="CM35" s="201">
        <f ca="1">MIN(6,TblMili[[#This Row],[Dryad]]+Races!$F$35)*1.8 +  IF(TblMili[[#This Row],[Dryad]]+Races!$F$35&gt;6,(TblMili[[#This Row],[Dryad]]+Races!$F$35-6)*0.2,0) - Races!$I$19</f>
        <v>2.9859531772575254</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4.7859531772575252</v>
      </c>
      <c r="CT35" s="201">
        <f ca="1">1.8 * MIN(MAX(TblMili[[#This Row],[Ice Elemental]]+Races!$E$71,Races!$F$71),6)  +  0.45 * MIN(MIN(TblMili[[#This Row],[Ice Elemental]]+Races!$E$71,Races!$F$71),6)  +  0.2 * ( MAX(TblMili[[#This Row],[Ice Elemental]]+Races!$E$71-6,0) + MAX(Races!$F$71-6,0) )  -  Races!$I$71</f>
        <v>0.15050167224080369</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5" s="184"/>
      <c r="DA35" s="326">
        <f ca="1">(TblMili[[#This Row],[Wizards]]+2*TblMili[[#This Row],[Archmages]])/TblConstr[[#This Row],[Land]]</f>
        <v>8.3612040133779264E-2</v>
      </c>
      <c r="DB35" s="326">
        <f ca="1">TblMili[[#This Row],[Raw (2)]]*(1+race_wizard_strength+IF(TblMili[[#This Row],[Hour]]&gt;72,tech_magical_weaponry_wiz*TblTech[[#This Row],[3-5]],0))</f>
        <v>8.3612040133779264E-2</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351</v>
      </c>
      <c r="C36" s="203">
        <f ca="1">TblPop[[#This Row],[Military%]]</f>
        <v>7.7654867256637172E-2</v>
      </c>
      <c r="D36" s="184"/>
      <c r="E36" s="49">
        <f ca="1">OFFSET(TblMili[[#This Row],[Unit 1]],-1,0) + OFFSET(TblMili[[#This Row],[Train Unit 1]],-9,0) - TblMili[[#This Row],[Release Unit 1]]</f>
        <v>0</v>
      </c>
      <c r="F36" s="49">
        <f ca="1">OFFSET(TblMili[[#This Row],[Unit 2]],-1,0) + OFFSET(TblMili[[#This Row],[Train Unit 2]],-9,0)-TblMili[[#This Row],[Release Unit 2]]</f>
        <v>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7480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6" s="319">
        <f ca="1">TblMili[[#This Row],[Non Draft]]+TblMili[[#This Row],[Draftees]]</f>
        <v>301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0</v>
      </c>
      <c r="V36" s="319">
        <f ca="1">TblMili[[#This Row],[Draft]] * (1 + TblMili[[#This Row],[Mods_Def]])</f>
        <v>301</v>
      </c>
      <c r="W36" s="319">
        <f ca="1">TblConstr[[#This Row],[Land]]</f>
        <v>299</v>
      </c>
      <c r="X36" s="322"/>
      <c r="Y36" s="327">
        <f ca="1">IF(TblMili[[#This Row],[Set]]&lt;&gt;"",TblMili[[#This Row],[Set]],OFFSET(TblMili[[#This Row],[Draftrate]],-1,0))</f>
        <v>0.9</v>
      </c>
      <c r="Z36" s="113">
        <f ca="1">OFFSET(TblMili[[#This Row],[Draftees]],-1,0)+OFFSET(TblPop[[#This Row],[Draft Growth]],-1,0) - SUM(TblMili[[#This Row],[Train Unit 1]:[Train Wiz]]) - TblMili[[#This Row],[Release Draft]] + SUM(TblMili[[#This Row],[Release Unit 1]:[Release Arch]]) -TblExplore[[#This Row],[Draftees (2)]]</f>
        <v>301</v>
      </c>
      <c r="AA36" s="200"/>
      <c r="AB36" s="234">
        <f ca="1">(TblConstr[[#This Row],[Tot Smi]]+TblConstr[[#This Row],[Dest Smi]])/(TblConstr[[#This Row],[Land]]-TblExplore[[#This Row],[Land Bonus]]*20)</f>
        <v>0</v>
      </c>
      <c r="AC36" s="178"/>
      <c r="AD36" s="318">
        <f>TblMili[[#This Row],[Hour]]</f>
        <v>33</v>
      </c>
      <c r="AE36" s="179">
        <f ca="1">TblExplore[[#This Row],[Time]]</f>
        <v>44406.083333333256</v>
      </c>
      <c r="AF36" s="232"/>
      <c r="AG36" s="232"/>
      <c r="AH36" s="232"/>
      <c r="AI36" s="232"/>
      <c r="AJ36" s="232"/>
      <c r="AK36" s="232"/>
      <c r="AL36" s="232"/>
      <c r="AM36" s="184"/>
      <c r="AN36" s="113">
        <f ca="1">TblProd[[#This Row],[Platinum]]</f>
        <v>137020</v>
      </c>
      <c r="AO36" s="113">
        <f ca="1">INDEX(TblProd[[#Headers],[Lumber]]:TblProd[[#This Row],[Ore]],COUNTA(TblProd[[#Headers],[Lumber]]:TblProd[[#This Row],[Lumber]]),MATCH(Military!$AO$2,TblProd[[#Headers],[Lumber]:[Ore]],0))</f>
        <v>10800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44406.083333333256</v>
      </c>
      <c r="AT36" s="113">
        <f ca="1">TblMili[[#This Row],[Draftees]]</f>
        <v>301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0.5317725752508361</v>
      </c>
      <c r="BS36" s="208">
        <f ca="1">TblMili[[#This Row],[WG''s]]</f>
        <v>0</v>
      </c>
      <c r="BT36" s="323">
        <f ca="1">IF(mystic_cap="none",TblMili[[#This Row],[Hill]]/mystic_bonus,MIN(mystic_cap,TblMili[[#This Row],[Hill]]/mystic_bonus))</f>
        <v>2.6588628762541804</v>
      </c>
      <c r="BU36" s="323">
        <f ca="1">IF(druid_op_cap="none",TblMili[[#This Row],[Hill]]/druid_op_bonus,MIN(druid_op_cap,TblMili[[#This Row],[Hill]]/druid_op_bonus))</f>
        <v>2.6588628762541804</v>
      </c>
      <c r="BV36" s="323">
        <f ca="1">IF(druid_dp_cap="none",TblMili[[#This Row],[Hill]]/druid_dp_bonus,MIN(druid_dp_cap,TblMili[[#This Row],[Hill]]/druid_dp_bonus))</f>
        <v>2.6588628762541804</v>
      </c>
      <c r="BW36" s="323">
        <f ca="1">MIN(dryad_cap,TblMili[[#This Row],[Hill]]/dryad_bonus)</f>
        <v>2.6588628762541804</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2.6588628762541804</v>
      </c>
      <c r="CD36" s="59">
        <f ca="1">MIN(ice_elem_cap,TblMili[[#This Row],[Raw (2)]]*ice_elem_bonus)</f>
        <v>8.3612040133779264E-2</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3.7317725752508357</v>
      </c>
      <c r="CK36"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6" s="113">
        <f ca="1">TblMili[[#This Row],[Mystic bonus]]*TblMili[[#This Row],[Unit 3]]+TblMili[[#This Row],[Druid bonus]]*TblMili[[#This Row],[Unit 4]]</f>
        <v>0</v>
      </c>
      <c r="CM36" s="201">
        <f ca="1">MIN(6,TblMili[[#This Row],[Dryad]]+Races!$F$35)*1.8 +  IF(TblMili[[#This Row],[Dryad]]+Races!$F$35&gt;6,(TblMili[[#This Row],[Dryad]]+Races!$F$35-6)*0.2,0) - Races!$I$19</f>
        <v>2.9859531772575254</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4.7859531772575252</v>
      </c>
      <c r="CT36" s="201">
        <f ca="1">1.8 * MIN(MAX(TblMili[[#This Row],[Ice Elemental]]+Races!$E$71,Races!$F$71),6)  +  0.45 * MIN(MIN(TblMili[[#This Row],[Ice Elemental]]+Races!$E$71,Races!$F$71),6)  +  0.2 * ( MAX(TblMili[[#This Row],[Ice Elemental]]+Races!$E$71-6,0) + MAX(Races!$F$71-6,0) )  -  Races!$I$71</f>
        <v>0.15050167224080369</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6" s="184"/>
      <c r="DA36" s="326">
        <f ca="1">(TblMili[[#This Row],[Wizards]]+2*TblMili[[#This Row],[Archmages]])/TblConstr[[#This Row],[Land]]</f>
        <v>8.3612040133779264E-2</v>
      </c>
      <c r="DB36" s="326">
        <f ca="1">TblMili[[#This Row],[Raw (2)]]*(1+race_wizard_strength+IF(TblMili[[#This Row],[Hour]]&gt;72,tech_magical_weaponry_wiz*TblTech[[#This Row],[3-5]],0))</f>
        <v>8.3612040133779264E-2</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393</v>
      </c>
      <c r="C37" s="203">
        <f ca="1">TblPop[[#This Row],[Military%]]</f>
        <v>8.2719427488949698E-2</v>
      </c>
      <c r="D37" s="184"/>
      <c r="E37" s="49">
        <f ca="1">OFFSET(TblMili[[#This Row],[Unit 1]],-1,0) + OFFSET(TblMili[[#This Row],[Train Unit 1]],-9,0) - TblMili[[#This Row],[Release Unit 1]]</f>
        <v>0</v>
      </c>
      <c r="F37" s="49">
        <f ca="1">OFFSET(TblMili[[#This Row],[Unit 2]],-1,0) + OFFSET(TblMili[[#This Row],[Train Unit 2]],-9,0)-TblMili[[#This Row],[Release Unit 2]]</f>
        <v>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7480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7" s="319">
        <f ca="1">TblMili[[#This Row],[Non Draft]]+TblMili[[#This Row],[Draftees]]</f>
        <v>343</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0</v>
      </c>
      <c r="V37" s="319">
        <f ca="1">TblMili[[#This Row],[Draft]] * (1 + TblMili[[#This Row],[Mods_Def]])</f>
        <v>343</v>
      </c>
      <c r="W37" s="319">
        <f ca="1">TblConstr[[#This Row],[Land]]</f>
        <v>299</v>
      </c>
      <c r="X37" s="322"/>
      <c r="Y37" s="327">
        <f ca="1">IF(TblMili[[#This Row],[Set]]&lt;&gt;"",TblMili[[#This Row],[Set]],OFFSET(TblMili[[#This Row],[Draftrate]],-1,0))</f>
        <v>0.9</v>
      </c>
      <c r="Z37" s="113">
        <f ca="1">OFFSET(TblMili[[#This Row],[Draftees]],-1,0)+OFFSET(TblPop[[#This Row],[Draft Growth]],-1,0) - SUM(TblMili[[#This Row],[Train Unit 1]:[Train Wiz]]) - TblMili[[#This Row],[Release Draft]] + SUM(TblMili[[#This Row],[Release Unit 1]:[Release Arch]]) -TblExplore[[#This Row],[Draftees (2)]]</f>
        <v>343</v>
      </c>
      <c r="AA37" s="200"/>
      <c r="AB37" s="234">
        <f ca="1">(TblConstr[[#This Row],[Tot Smi]]+TblConstr[[#This Row],[Dest Smi]])/(TblConstr[[#This Row],[Land]]-TblExplore[[#This Row],[Land Bonus]]*20)</f>
        <v>0</v>
      </c>
      <c r="AC37" s="178"/>
      <c r="AD37" s="318">
        <f>TblMili[[#This Row],[Hour]]</f>
        <v>34</v>
      </c>
      <c r="AE37" s="179">
        <f ca="1">TblExplore[[#This Row],[Time]]</f>
        <v>44406.12499999992</v>
      </c>
      <c r="AF37" s="232"/>
      <c r="AG37" s="232"/>
      <c r="AH37" s="232"/>
      <c r="AI37" s="232"/>
      <c r="AJ37" s="232"/>
      <c r="AK37" s="232"/>
      <c r="AL37" s="232"/>
      <c r="AM37" s="184"/>
      <c r="AN37" s="113">
        <f ca="1">TblProd[[#This Row],[Platinum]]</f>
        <v>152866</v>
      </c>
      <c r="AO37" s="113">
        <f ca="1">INDEX(TblProd[[#Headers],[Lumber]]:TblProd[[#This Row],[Ore]],COUNTA(TblProd[[#Headers],[Lumber]]:TblProd[[#This Row],[Lumber]]),MATCH(Military!$AO$2,TblProd[[#Headers],[Lumber]:[Ore]],0))</f>
        <v>12000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44406.12499999992</v>
      </c>
      <c r="AT37" s="113">
        <f ca="1">TblMili[[#This Row],[Draftees]]</f>
        <v>343</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0.5317725752508361</v>
      </c>
      <c r="BS37" s="208">
        <f ca="1">TblMili[[#This Row],[WG''s]]</f>
        <v>0</v>
      </c>
      <c r="BT37" s="323">
        <f ca="1">IF(mystic_cap="none",TblMili[[#This Row],[Hill]]/mystic_bonus,MIN(mystic_cap,TblMili[[#This Row],[Hill]]/mystic_bonus))</f>
        <v>2.6588628762541804</v>
      </c>
      <c r="BU37" s="323">
        <f ca="1">IF(druid_op_cap="none",TblMili[[#This Row],[Hill]]/druid_op_bonus,MIN(druid_op_cap,TblMili[[#This Row],[Hill]]/druid_op_bonus))</f>
        <v>2.6588628762541804</v>
      </c>
      <c r="BV37" s="323">
        <f ca="1">IF(druid_dp_cap="none",TblMili[[#This Row],[Hill]]/druid_dp_bonus,MIN(druid_dp_cap,TblMili[[#This Row],[Hill]]/druid_dp_bonus))</f>
        <v>2.6588628762541804</v>
      </c>
      <c r="BW37" s="323">
        <f ca="1">MIN(dryad_cap,TblMili[[#This Row],[Hill]]/dryad_bonus)</f>
        <v>2.6588628762541804</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2.6588628762541804</v>
      </c>
      <c r="CD37" s="59">
        <f ca="1">MIN(ice_elem_cap,TblMili[[#This Row],[Raw (2)]]*ice_elem_bonus)</f>
        <v>8.3612040133779264E-2</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3.7317725752508357</v>
      </c>
      <c r="CK37"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7" s="113">
        <f ca="1">TblMili[[#This Row],[Mystic bonus]]*TblMili[[#This Row],[Unit 3]]+TblMili[[#This Row],[Druid bonus]]*TblMili[[#This Row],[Unit 4]]</f>
        <v>0</v>
      </c>
      <c r="CM37" s="201">
        <f ca="1">MIN(6,TblMili[[#This Row],[Dryad]]+Races!$F$35)*1.8 +  IF(TblMili[[#This Row],[Dryad]]+Races!$F$35&gt;6,(TblMili[[#This Row],[Dryad]]+Races!$F$35-6)*0.2,0) - Races!$I$19</f>
        <v>2.9859531772575254</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4.7859531772575252</v>
      </c>
      <c r="CT37" s="201">
        <f ca="1">1.8 * MIN(MAX(TblMili[[#This Row],[Ice Elemental]]+Races!$E$71,Races!$F$71),6)  +  0.45 * MIN(MIN(TblMili[[#This Row],[Ice Elemental]]+Races!$E$71,Races!$F$71),6)  +  0.2 * ( MAX(TblMili[[#This Row],[Ice Elemental]]+Races!$E$71-6,0) + MAX(Races!$F$71-6,0) )  -  Races!$I$71</f>
        <v>0.15050167224080369</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7" s="184"/>
      <c r="DA37" s="326">
        <f ca="1">(TblMili[[#This Row],[Wizards]]+2*TblMili[[#This Row],[Archmages]])/TblConstr[[#This Row],[Land]]</f>
        <v>8.3612040133779264E-2</v>
      </c>
      <c r="DB37" s="326">
        <f ca="1">TblMili[[#This Row],[Raw (2)]]*(1+race_wizard_strength+IF(TblMili[[#This Row],[Hour]]&gt;72,tech_magical_weaponry_wiz*TblTech[[#This Row],[3-5]],0))</f>
        <v>8.3612040133779264E-2</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53</v>
      </c>
      <c r="C38" s="203">
        <f ca="1">TblPop[[#This Row],[Military%]]</f>
        <v>1.2136478131440347E-2</v>
      </c>
      <c r="D38" s="184"/>
      <c r="E38" s="49">
        <f ca="1">OFFSET(TblMili[[#This Row],[Unit 1]],-1,0) + OFFSET(TblMili[[#This Row],[Train Unit 1]],-9,0) - TblMili[[#This Row],[Release Unit 1]]</f>
        <v>0</v>
      </c>
      <c r="F38" s="49">
        <f ca="1">OFFSET(TblMili[[#This Row],[Unit 2]],-1,0) + OFFSET(TblMili[[#This Row],[Train Unit 2]],-9,0)-TblMili[[#This Row],[Release Unit 2]]</f>
        <v>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7480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8" s="319">
        <f ca="1">TblMili[[#This Row],[Non Draft]]+TblMili[[#This Row],[Draftees]]</f>
        <v>3</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0</v>
      </c>
      <c r="V38" s="319">
        <f ca="1">TblMili[[#This Row],[Draft]] * (1 + TblMili[[#This Row],[Mods_Def]])</f>
        <v>3</v>
      </c>
      <c r="W38" s="319">
        <f ca="1">TblConstr[[#This Row],[Land]]</f>
        <v>299</v>
      </c>
      <c r="X38" s="322"/>
      <c r="Y38" s="327">
        <f ca="1">IF(TblMili[[#This Row],[Set]]&lt;&gt;"",TblMili[[#This Row],[Set]],OFFSET(TblMili[[#This Row],[Draftrate]],-1,0))</f>
        <v>0.9</v>
      </c>
      <c r="Z38" s="113">
        <f ca="1">OFFSET(TblMili[[#This Row],[Draftees]],-1,0)+OFFSET(TblPop[[#This Row],[Draft Growth]],-1,0) - SUM(TblMili[[#This Row],[Train Unit 1]:[Train Wiz]]) - TblMili[[#This Row],[Release Draft]] + SUM(TblMili[[#This Row],[Release Unit 1]:[Release Arch]]) -TblExplore[[#This Row],[Draftees (2)]]</f>
        <v>3</v>
      </c>
      <c r="AA38" s="200"/>
      <c r="AB38" s="234">
        <f ca="1">(TblConstr[[#This Row],[Tot Smi]]+TblConstr[[#This Row],[Dest Smi]])/(TblConstr[[#This Row],[Land]]-TblExplore[[#This Row],[Land Bonus]]*20)</f>
        <v>0</v>
      </c>
      <c r="AC38" s="178"/>
      <c r="AD38" s="318">
        <f>TblMili[[#This Row],[Hour]]</f>
        <v>35</v>
      </c>
      <c r="AE38" s="179">
        <f ca="1">TblExplore[[#This Row],[Time]]</f>
        <v>44406.166666666584</v>
      </c>
      <c r="AF38" s="232"/>
      <c r="AG38" s="232"/>
      <c r="AH38" s="232"/>
      <c r="AI38" s="232"/>
      <c r="AJ38" s="232"/>
      <c r="AK38" s="232"/>
      <c r="AL38" s="232"/>
      <c r="AM38" s="184"/>
      <c r="AN38" s="113">
        <f ca="1">TblProd[[#This Row],[Platinum]]</f>
        <v>73562</v>
      </c>
      <c r="AO38" s="113">
        <f ca="1">INDEX(TblProd[[#Headers],[Lumber]]:TblProd[[#This Row],[Ore]],COUNTA(TblProd[[#Headers],[Lumber]]:TblProd[[#This Row],[Lumber]]),MATCH(Military!$AO$2,TblProd[[#Headers],[Lumber]:[Ore]],0))</f>
        <v>13200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44406.166666666584</v>
      </c>
      <c r="AT38" s="113">
        <f ca="1">TblMili[[#This Row],[Draftees]]</f>
        <v>3</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0.5317725752508361</v>
      </c>
      <c r="BS38" s="208">
        <f ca="1">TblMili[[#This Row],[WG''s]]</f>
        <v>0</v>
      </c>
      <c r="BT38" s="323">
        <f ca="1">IF(mystic_cap="none",TblMili[[#This Row],[Hill]]/mystic_bonus,MIN(mystic_cap,TblMili[[#This Row],[Hill]]/mystic_bonus))</f>
        <v>2.6588628762541804</v>
      </c>
      <c r="BU38" s="323">
        <f ca="1">IF(druid_op_cap="none",TblMili[[#This Row],[Hill]]/druid_op_bonus,MIN(druid_op_cap,TblMili[[#This Row],[Hill]]/druid_op_bonus))</f>
        <v>2.6588628762541804</v>
      </c>
      <c r="BV38" s="323">
        <f ca="1">IF(druid_dp_cap="none",TblMili[[#This Row],[Hill]]/druid_dp_bonus,MIN(druid_dp_cap,TblMili[[#This Row],[Hill]]/druid_dp_bonus))</f>
        <v>2.6588628762541804</v>
      </c>
      <c r="BW38" s="323">
        <f ca="1">MIN(dryad_cap,TblMili[[#This Row],[Hill]]/dryad_bonus)</f>
        <v>2.6588628762541804</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2.6588628762541804</v>
      </c>
      <c r="CD38" s="59">
        <f ca="1">MIN(ice_elem_cap,TblMili[[#This Row],[Raw (2)]]*ice_elem_bonus)</f>
        <v>8.3612040133779264E-2</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3.7317725752508357</v>
      </c>
      <c r="CK38"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8" s="113">
        <f ca="1">TblMili[[#This Row],[Mystic bonus]]*TblMili[[#This Row],[Unit 3]]+TblMili[[#This Row],[Druid bonus]]*TblMili[[#This Row],[Unit 4]]</f>
        <v>0</v>
      </c>
      <c r="CM38" s="201">
        <f ca="1">MIN(6,TblMili[[#This Row],[Dryad]]+Races!$F$35)*1.8 +  IF(TblMili[[#This Row],[Dryad]]+Races!$F$35&gt;6,(TblMili[[#This Row],[Dryad]]+Races!$F$35-6)*0.2,0) - Races!$I$19</f>
        <v>2.9859531772575254</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4.7859531772575252</v>
      </c>
      <c r="CT38" s="201">
        <f ca="1">1.8 * MIN(MAX(TblMili[[#This Row],[Ice Elemental]]+Races!$E$71,Races!$F$71),6)  +  0.45 * MIN(MIN(TblMili[[#This Row],[Ice Elemental]]+Races!$E$71,Races!$F$71),6)  +  0.2 * ( MAX(TblMili[[#This Row],[Ice Elemental]]+Races!$E$71-6,0) + MAX(Races!$F$71-6,0) )  -  Races!$I$71</f>
        <v>0.15050167224080369</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8" s="184"/>
      <c r="DA38" s="326">
        <f ca="1">(TblMili[[#This Row],[Wizards]]+2*TblMili[[#This Row],[Archmages]])/TblConstr[[#This Row],[Land]]</f>
        <v>8.3612040133779264E-2</v>
      </c>
      <c r="DB38" s="326">
        <f ca="1">TblMili[[#This Row],[Raw (2)]]*(1+race_wizard_strength+IF(TblMili[[#This Row],[Hour]]&gt;72,tech_magical_weaponry_wiz*TblTech[[#This Row],[3-5]],0))</f>
        <v>8.3612040133779264E-2</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54</v>
      </c>
      <c r="C39" s="203">
        <f ca="1">TblPop[[#This Row],[Military%]]</f>
        <v>1.1860311882275423E-2</v>
      </c>
      <c r="D39" s="184"/>
      <c r="E39" s="49">
        <f ca="1">OFFSET(TblMili[[#This Row],[Unit 1]],-1,0) + OFFSET(TblMili[[#This Row],[Train Unit 1]],-9,0) - TblMili[[#This Row],[Release Unit 1]]</f>
        <v>0</v>
      </c>
      <c r="F39" s="49">
        <f ca="1">OFFSET(TblMili[[#This Row],[Unit 2]],-1,0) + OFFSET(TblMili[[#This Row],[Train Unit 2]],-9,0)-TblMili[[#This Row],[Release Unit 2]]</f>
        <v>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10280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9" s="319">
        <f ca="1">TblMili[[#This Row],[Non Draft]]+TblMili[[#This Row],[Draftees]]</f>
        <v>4</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0</v>
      </c>
      <c r="V39" s="319">
        <f ca="1">TblMili[[#This Row],[Draft]] * (1 + TblMili[[#This Row],[Mods_Def]])</f>
        <v>4</v>
      </c>
      <c r="W39" s="319">
        <f ca="1">TblConstr[[#This Row],[Land]]</f>
        <v>434</v>
      </c>
      <c r="X39" s="322"/>
      <c r="Y39" s="327">
        <f ca="1">IF(TblMili[[#This Row],[Set]]&lt;&gt;"",TblMili[[#This Row],[Set]],OFFSET(TblMili[[#This Row],[Draftrate]],-1,0))</f>
        <v>0.9</v>
      </c>
      <c r="Z39" s="113">
        <f ca="1">OFFSET(TblMili[[#This Row],[Draftees]],-1,0)+OFFSET(TblPop[[#This Row],[Draft Growth]],-1,0) - SUM(TblMili[[#This Row],[Train Unit 1]:[Train Wiz]]) - TblMili[[#This Row],[Release Draft]] + SUM(TblMili[[#This Row],[Release Unit 1]:[Release Arch]]) -TblExplore[[#This Row],[Draftees (2)]]</f>
        <v>4</v>
      </c>
      <c r="AA39" s="200"/>
      <c r="AB39" s="234">
        <f ca="1">(TblConstr[[#This Row],[Tot Smi]]+TblConstr[[#This Row],[Dest Smi]])/(TblConstr[[#This Row],[Land]]-TblExplore[[#This Row],[Land Bonus]]*20)</f>
        <v>0</v>
      </c>
      <c r="AC39" s="178"/>
      <c r="AD39" s="318">
        <f>TblMili[[#This Row],[Hour]]</f>
        <v>36</v>
      </c>
      <c r="AE39" s="179">
        <f ca="1">TblExplore[[#This Row],[Time]]</f>
        <v>44406.208333333248</v>
      </c>
      <c r="AF39" s="232"/>
      <c r="AG39" s="232"/>
      <c r="AH39" s="232"/>
      <c r="AI39" s="232"/>
      <c r="AJ39" s="232"/>
      <c r="AK39" s="232"/>
      <c r="AL39" s="232"/>
      <c r="AM39" s="184"/>
      <c r="AN39" s="113">
        <f ca="1">TblProd[[#This Row],[Platinum]]</f>
        <v>3179</v>
      </c>
      <c r="AO39" s="113">
        <f ca="1">INDEX(TblProd[[#Headers],[Lumber]]:TblProd[[#This Row],[Ore]],COUNTA(TblProd[[#Headers],[Lumber]]:TblProd[[#This Row],[Lumber]]),MATCH(Military!$AO$2,TblProd[[#Headers],[Lumber]:[Ore]],0))</f>
        <v>14400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44406.208333333248</v>
      </c>
      <c r="AT39" s="113">
        <f ca="1">TblMili[[#This Row],[Draftees]]</f>
        <v>4</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0.65437788018433185</v>
      </c>
      <c r="BS39" s="208">
        <f ca="1">TblMili[[#This Row],[WG''s]]</f>
        <v>0</v>
      </c>
      <c r="BT39" s="323">
        <f ca="1">IF(mystic_cap="none",TblMili[[#This Row],[Hill]]/mystic_bonus,MIN(mystic_cap,TblMili[[#This Row],[Hill]]/mystic_bonus))</f>
        <v>3.2718894009216593</v>
      </c>
      <c r="BU39" s="323">
        <f ca="1">IF(druid_op_cap="none",TblMili[[#This Row],[Hill]]/druid_op_bonus,MIN(druid_op_cap,TblMili[[#This Row],[Hill]]/druid_op_bonus))</f>
        <v>3.2718894009216593</v>
      </c>
      <c r="BV39" s="323">
        <f ca="1">IF(druid_dp_cap="none",TblMili[[#This Row],[Hill]]/druid_dp_bonus,MIN(druid_dp_cap,TblMili[[#This Row],[Hill]]/druid_dp_bonus))</f>
        <v>3.2718894009216593</v>
      </c>
      <c r="BW39" s="323">
        <f ca="1">MIN(dryad_cap,TblMili[[#This Row],[Hill]]/dryad_bonus)</f>
        <v>3.2718894009216593</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3</v>
      </c>
      <c r="CD39" s="59">
        <f ca="1">MIN(ice_elem_cap,TblMili[[#This Row],[Raw (2)]]*ice_elem_bonus)</f>
        <v>5.7603686635944701E-2</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3.8543778801843329</v>
      </c>
      <c r="CK39" s="323">
        <f ca="1">1.8 * MIN(MAX(TblMili[[#This Row],[Druid (op)]]+Races!$E$20,TblMili[[#This Row],[Druid (dp)]]+Races!$F$20),6)  +  0.45 * MIN(MIN(TblMili[[#This Row],[Druid (op)]]+Races!$E$20,TblMili[[#This Row],[Druid (dp)]]+Races!$F$20),6)  +  0.2 * ( MAX(TblMili[[#This Row],[Druid (op)]]+Races!$E$20-6,0) + MAX(TblMili[[#This Row],[Druid (dp)]]+Races!$F$20-6,0) )  -  Races!$I$20</f>
        <v>6.9267281105990781</v>
      </c>
      <c r="CL39" s="113">
        <f ca="1">TblMili[[#This Row],[Mystic bonus]]*TblMili[[#This Row],[Unit 3]]+TblMili[[#This Row],[Druid bonus]]*TblMili[[#This Row],[Unit 4]]</f>
        <v>0</v>
      </c>
      <c r="CM39" s="201">
        <f ca="1">MIN(6,TblMili[[#This Row],[Dryad]]+Races!$F$35)*1.8 +  IF(TblMili[[#This Row],[Dryad]]+Races!$F$35&gt;6,(TblMili[[#This Row],[Dryad]]+Races!$F$35-6)*0.2,0) - Races!$I$19</f>
        <v>3.6543778801843319</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5.4</v>
      </c>
      <c r="CT39" s="201">
        <f ca="1">1.8 * MIN(MAX(TblMili[[#This Row],[Ice Elemental]]+Races!$E$71,Races!$F$71),6)  +  0.45 * MIN(MIN(TblMili[[#This Row],[Ice Elemental]]+Races!$E$71,Races!$F$71),6)  +  0.2 * ( MAX(TblMili[[#This Row],[Ice Elemental]]+Races!$E$71-6,0) + MAX(Races!$F$71-6,0) )  -  Races!$I$71</f>
        <v>0.10368663594470107</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10280</v>
      </c>
      <c r="CZ39" s="184"/>
      <c r="DA39" s="326">
        <f ca="1">(TblMili[[#This Row],[Wizards]]+2*TblMili[[#This Row],[Archmages]])/TblConstr[[#This Row],[Land]]</f>
        <v>5.7603686635944701E-2</v>
      </c>
      <c r="DB39" s="326">
        <f ca="1">TblMili[[#This Row],[Raw (2)]]*(1+race_wizard_strength+IF(TblMili[[#This Row],[Hour]]&gt;72,tech_magical_weaponry_wiz*TblTech[[#This Row],[3-5]],0))</f>
        <v>5.7603686635944701E-2</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51</v>
      </c>
      <c r="C40" s="203">
        <f ca="1">TblPop[[#This Row],[Military%]]</f>
        <v>1.0754955714888232E-2</v>
      </c>
      <c r="D40" s="184"/>
      <c r="E40" s="49">
        <f ca="1">OFFSET(TblMili[[#This Row],[Unit 1]],-1,0) + OFFSET(TblMili[[#This Row],[Train Unit 1]],-9,0) - TblMili[[#This Row],[Release Unit 1]]</f>
        <v>0</v>
      </c>
      <c r="F40" s="49">
        <f ca="1">OFFSET(TblMili[[#This Row],[Unit 2]],-1,0) + OFFSET(TblMili[[#This Row],[Train Unit 2]],-9,0)-TblMili[[#This Row],[Release Unit 2]]</f>
        <v>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10425</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0" s="319">
        <f ca="1">TblMili[[#This Row],[Non Draft]]+TblMili[[#This Row],[Draftees]]</f>
        <v>1</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0</v>
      </c>
      <c r="V40" s="319">
        <f ca="1">TblMili[[#This Row],[Draft]] * (1 + TblMili[[#This Row],[Mods_Def]])</f>
        <v>1</v>
      </c>
      <c r="W40" s="319">
        <f ca="1">TblConstr[[#This Row],[Land]]</f>
        <v>434</v>
      </c>
      <c r="X40" s="322"/>
      <c r="Y40" s="327">
        <f ca="1">IF(TblMili[[#This Row],[Set]]&lt;&gt;"",TblMili[[#This Row],[Set]],OFFSET(TblMili[[#This Row],[Draftrate]],-1,0))</f>
        <v>0.9</v>
      </c>
      <c r="Z40" s="113">
        <f ca="1">OFFSET(TblMili[[#This Row],[Draftees]],-1,0)+OFFSET(TblPop[[#This Row],[Draft Growth]],-1,0) - SUM(TblMili[[#This Row],[Train Unit 1]:[Train Wiz]]) - TblMili[[#This Row],[Release Draft]] + SUM(TblMili[[#This Row],[Release Unit 1]:[Release Arch]]) -TblExplore[[#This Row],[Draftees (2)]]</f>
        <v>1</v>
      </c>
      <c r="AA40" s="200"/>
      <c r="AB40" s="234">
        <f ca="1">(TblConstr[[#This Row],[Tot Smi]]+TblConstr[[#This Row],[Dest Smi]])/(TblConstr[[#This Row],[Land]]-TblExplore[[#This Row],[Land Bonus]]*20)</f>
        <v>0</v>
      </c>
      <c r="AC40" s="178"/>
      <c r="AD40" s="318">
        <f>TblMili[[#This Row],[Hour]]</f>
        <v>37</v>
      </c>
      <c r="AE40" s="179">
        <f ca="1">TblExplore[[#This Row],[Time]]</f>
        <v>44406.249999999913</v>
      </c>
      <c r="AF40" s="232"/>
      <c r="AG40" s="232"/>
      <c r="AH40" s="232"/>
      <c r="AI40" s="232"/>
      <c r="AJ40" s="232"/>
      <c r="AK40" s="232"/>
      <c r="AL40" s="232"/>
      <c r="AM40" s="184"/>
      <c r="AN40" s="113">
        <f ca="1">TblProd[[#This Row],[Platinum]]</f>
        <v>9431</v>
      </c>
      <c r="AO40" s="113">
        <f ca="1">INDEX(TblProd[[#Headers],[Lumber]]:TblProd[[#This Row],[Ore]],COUNTA(TblProd[[#Headers],[Lumber]]:TblProd[[#This Row],[Lumber]]),MATCH(Military!$AO$2,TblProd[[#Headers],[Lumber]:[Ore]],0))</f>
        <v>15600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44406.249999999913</v>
      </c>
      <c r="AT40" s="113">
        <f ca="1">TblMili[[#This Row],[Draftees]]</f>
        <v>1</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0.65437788018433185</v>
      </c>
      <c r="BS40" s="208">
        <f ca="1">TblMili[[#This Row],[WG''s]]</f>
        <v>0</v>
      </c>
      <c r="BT40" s="323">
        <f ca="1">IF(mystic_cap="none",TblMili[[#This Row],[Hill]]/mystic_bonus,MIN(mystic_cap,TblMili[[#This Row],[Hill]]/mystic_bonus))</f>
        <v>3.2718894009216593</v>
      </c>
      <c r="BU40" s="323">
        <f ca="1">IF(druid_op_cap="none",TblMili[[#This Row],[Hill]]/druid_op_bonus,MIN(druid_op_cap,TblMili[[#This Row],[Hill]]/druid_op_bonus))</f>
        <v>3.2718894009216593</v>
      </c>
      <c r="BV40" s="323">
        <f ca="1">IF(druid_dp_cap="none",TblMili[[#This Row],[Hill]]/druid_dp_bonus,MIN(druid_dp_cap,TblMili[[#This Row],[Hill]]/druid_dp_bonus))</f>
        <v>3.2718894009216593</v>
      </c>
      <c r="BW40" s="323">
        <f ca="1">MIN(dryad_cap,TblMili[[#This Row],[Hill]]/dryad_bonus)</f>
        <v>3.2718894009216593</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3</v>
      </c>
      <c r="CD40" s="59">
        <f ca="1">MIN(ice_elem_cap,TblMili[[#This Row],[Raw (2)]]*ice_elem_bonus)</f>
        <v>5.7603686635944701E-2</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3.8543778801843329</v>
      </c>
      <c r="CK40" s="323">
        <f ca="1">1.8 * MIN(MAX(TblMili[[#This Row],[Druid (op)]]+Races!$E$20,TblMili[[#This Row],[Druid (dp)]]+Races!$F$20),6)  +  0.45 * MIN(MIN(TblMili[[#This Row],[Druid (op)]]+Races!$E$20,TblMili[[#This Row],[Druid (dp)]]+Races!$F$20),6)  +  0.2 * ( MAX(TblMili[[#This Row],[Druid (op)]]+Races!$E$20-6,0) + MAX(TblMili[[#This Row],[Druid (dp)]]+Races!$F$20-6,0) )  -  Races!$I$20</f>
        <v>6.9267281105990781</v>
      </c>
      <c r="CL40" s="113">
        <f ca="1">TblMili[[#This Row],[Mystic bonus]]*TblMili[[#This Row],[Unit 3]]+TblMili[[#This Row],[Druid bonus]]*TblMili[[#This Row],[Unit 4]]</f>
        <v>0</v>
      </c>
      <c r="CM40" s="201">
        <f ca="1">MIN(6,TblMili[[#This Row],[Dryad]]+Races!$F$35)*1.8 +  IF(TblMili[[#This Row],[Dryad]]+Races!$F$35&gt;6,(TblMili[[#This Row],[Dryad]]+Races!$F$35-6)*0.2,0) - Races!$I$19</f>
        <v>3.6543778801843319</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5.4</v>
      </c>
      <c r="CT40" s="201">
        <f ca="1">1.8 * MIN(MAX(TblMili[[#This Row],[Ice Elemental]]+Races!$E$71,Races!$F$71),6)  +  0.45 * MIN(MIN(TblMili[[#This Row],[Ice Elemental]]+Races!$E$71,Races!$F$71),6)  +  0.2 * ( MAX(TblMili[[#This Row],[Ice Elemental]]+Races!$E$71-6,0) + MAX(Races!$F$71-6,0) )  -  Races!$I$71</f>
        <v>0.10368663594470107</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10425</v>
      </c>
      <c r="CZ40" s="184"/>
      <c r="DA40" s="326">
        <f ca="1">(TblMili[[#This Row],[Wizards]]+2*TblMili[[#This Row],[Archmages]])/TblConstr[[#This Row],[Land]]</f>
        <v>5.7603686635944701E-2</v>
      </c>
      <c r="DB40" s="326">
        <f ca="1">TblMili[[#This Row],[Raw (2)]]*(1+race_wizard_strength+IF(TblMili[[#This Row],[Hour]]&gt;72,tech_magical_weaponry_wiz*TblTech[[#This Row],[3-5]],0))</f>
        <v>5.7603686635944701E-2</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50</v>
      </c>
      <c r="C41" s="203">
        <f ca="1">TblPop[[#This Row],[Military%]]</f>
        <v>1.0117361392148928E-2</v>
      </c>
      <c r="D41" s="184"/>
      <c r="E41" s="49">
        <f ca="1">OFFSET(TblMili[[#This Row],[Unit 1]],-1,0) + OFFSET(TblMili[[#This Row],[Train Unit 1]],-9,0) - TblMili[[#This Row],[Release Unit 1]]</f>
        <v>0</v>
      </c>
      <c r="F41" s="49">
        <f ca="1">OFFSET(TblMili[[#This Row],[Unit 2]],-1,0) + OFFSET(TblMili[[#This Row],[Train Unit 2]],-9,0)-TblMili[[#This Row],[Release Unit 2]]</f>
        <v>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10425</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1" s="319">
        <f ca="1">TblMili[[#This Row],[Non Draft]]+TblMili[[#This Row],[Draftees]]</f>
        <v>0</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0</v>
      </c>
      <c r="V41" s="319">
        <f ca="1">TblMili[[#This Row],[Draft]] * (1 + TblMili[[#This Row],[Mods_Def]])</f>
        <v>0</v>
      </c>
      <c r="W41" s="319">
        <f ca="1">TblConstr[[#This Row],[Land]]</f>
        <v>434</v>
      </c>
      <c r="X41" s="322"/>
      <c r="Y41" s="327">
        <f ca="1">IF(TblMili[[#This Row],[Set]]&lt;&gt;"",TblMili[[#This Row],[Set]],OFFSET(TblMili[[#This Row],[Draftrate]],-1,0))</f>
        <v>0.9</v>
      </c>
      <c r="Z41" s="113">
        <f ca="1">OFFSET(TblMili[[#This Row],[Draftees]],-1,0)+OFFSET(TblPop[[#This Row],[Draft Growth]],-1,0) - SUM(TblMili[[#This Row],[Train Unit 1]:[Train Wiz]]) - TblMili[[#This Row],[Release Draft]] + SUM(TblMili[[#This Row],[Release Unit 1]:[Release Arch]]) -TblExplore[[#This Row],[Draftees (2)]]</f>
        <v>0</v>
      </c>
      <c r="AA41" s="200"/>
      <c r="AB41" s="234">
        <f ca="1">(TblConstr[[#This Row],[Tot Smi]]+TblConstr[[#This Row],[Dest Smi]])/(TblConstr[[#This Row],[Land]]-TblExplore[[#This Row],[Land Bonus]]*20)</f>
        <v>0</v>
      </c>
      <c r="AC41" s="178"/>
      <c r="AD41" s="318">
        <f>TblMili[[#This Row],[Hour]]</f>
        <v>38</v>
      </c>
      <c r="AE41" s="179">
        <f ca="1">TblExplore[[#This Row],[Time]]</f>
        <v>44406.291666666577</v>
      </c>
      <c r="AF41" s="232"/>
      <c r="AG41" s="232"/>
      <c r="AH41" s="232"/>
      <c r="AI41" s="232"/>
      <c r="AJ41" s="232"/>
      <c r="AK41" s="232"/>
      <c r="AL41" s="232"/>
      <c r="AM41" s="184"/>
      <c r="AN41" s="113">
        <f ca="1">TblProd[[#This Row],[Platinum]]</f>
        <v>16253</v>
      </c>
      <c r="AO41" s="113">
        <f ca="1">INDEX(TblProd[[#Headers],[Lumber]]:TblProd[[#This Row],[Ore]],COUNTA(TblProd[[#Headers],[Lumber]]:TblProd[[#This Row],[Lumber]]),MATCH(Military!$AO$2,TblProd[[#Headers],[Lumber]:[Ore]],0))</f>
        <v>16800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44406.291666666577</v>
      </c>
      <c r="AT41" s="113">
        <f ca="1">TblMili[[#This Row],[Draftees]]</f>
        <v>0</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0.65437788018433185</v>
      </c>
      <c r="BS41" s="208">
        <f ca="1">TblMili[[#This Row],[WG''s]]</f>
        <v>0</v>
      </c>
      <c r="BT41" s="323">
        <f ca="1">IF(mystic_cap="none",TblMili[[#This Row],[Hill]]/mystic_bonus,MIN(mystic_cap,TblMili[[#This Row],[Hill]]/mystic_bonus))</f>
        <v>3.2718894009216593</v>
      </c>
      <c r="BU41" s="323">
        <f ca="1">IF(druid_op_cap="none",TblMili[[#This Row],[Hill]]/druid_op_bonus,MIN(druid_op_cap,TblMili[[#This Row],[Hill]]/druid_op_bonus))</f>
        <v>3.2718894009216593</v>
      </c>
      <c r="BV41" s="323">
        <f ca="1">IF(druid_dp_cap="none",TblMili[[#This Row],[Hill]]/druid_dp_bonus,MIN(druid_dp_cap,TblMili[[#This Row],[Hill]]/druid_dp_bonus))</f>
        <v>3.2718894009216593</v>
      </c>
      <c r="BW41" s="323">
        <f ca="1">MIN(dryad_cap,TblMili[[#This Row],[Hill]]/dryad_bonus)</f>
        <v>3.2718894009216593</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3</v>
      </c>
      <c r="CD41" s="59">
        <f ca="1">MIN(ice_elem_cap,TblMili[[#This Row],[Raw (2)]]*ice_elem_bonus)</f>
        <v>5.7603686635944701E-2</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3.8543778801843329</v>
      </c>
      <c r="CK41" s="323">
        <f ca="1">1.8 * MIN(MAX(TblMili[[#This Row],[Druid (op)]]+Races!$E$20,TblMili[[#This Row],[Druid (dp)]]+Races!$F$20),6)  +  0.45 * MIN(MIN(TblMili[[#This Row],[Druid (op)]]+Races!$E$20,TblMili[[#This Row],[Druid (dp)]]+Races!$F$20),6)  +  0.2 * ( MAX(TblMili[[#This Row],[Druid (op)]]+Races!$E$20-6,0) + MAX(TblMili[[#This Row],[Druid (dp)]]+Races!$F$20-6,0) )  -  Races!$I$20</f>
        <v>6.9267281105990781</v>
      </c>
      <c r="CL41" s="113">
        <f ca="1">TblMili[[#This Row],[Mystic bonus]]*TblMili[[#This Row],[Unit 3]]+TblMili[[#This Row],[Druid bonus]]*TblMili[[#This Row],[Unit 4]]</f>
        <v>0</v>
      </c>
      <c r="CM41" s="201">
        <f ca="1">MIN(6,TblMili[[#This Row],[Dryad]]+Races!$F$35)*1.8 +  IF(TblMili[[#This Row],[Dryad]]+Races!$F$35&gt;6,(TblMili[[#This Row],[Dryad]]+Races!$F$35-6)*0.2,0) - Races!$I$19</f>
        <v>3.6543778801843319</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5.4</v>
      </c>
      <c r="CT41" s="201">
        <f ca="1">1.8 * MIN(MAX(TblMili[[#This Row],[Ice Elemental]]+Races!$E$71,Races!$F$71),6)  +  0.45 * MIN(MIN(TblMili[[#This Row],[Ice Elemental]]+Races!$E$71,Races!$F$71),6)  +  0.2 * ( MAX(TblMili[[#This Row],[Ice Elemental]]+Races!$E$71-6,0) + MAX(Races!$F$71-6,0) )  -  Races!$I$71</f>
        <v>0.10368663594470107</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10425</v>
      </c>
      <c r="CZ41" s="184"/>
      <c r="DA41" s="326">
        <f ca="1">(TblMili[[#This Row],[Wizards]]+2*TblMili[[#This Row],[Archmages]])/TblConstr[[#This Row],[Land]]</f>
        <v>5.7603686635944701E-2</v>
      </c>
      <c r="DB41" s="326">
        <f ca="1">TblMili[[#This Row],[Raw (2)]]*(1+race_wizard_strength+IF(TblMili[[#This Row],[Hour]]&gt;72,tech_magical_weaponry_wiz*TblTech[[#This Row],[3-5]],0))</f>
        <v>5.7603686635944701E-2</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57</v>
      </c>
      <c r="C42" s="203">
        <f ca="1">TblPop[[#This Row],[Military%]]</f>
        <v>1.1050794881737108E-2</v>
      </c>
      <c r="D42" s="184"/>
      <c r="E42" s="49">
        <f ca="1">OFFSET(TblMili[[#This Row],[Unit 1]],-1,0) + OFFSET(TblMili[[#This Row],[Train Unit 1]],-9,0) - TblMili[[#This Row],[Release Unit 1]]</f>
        <v>0</v>
      </c>
      <c r="F42" s="49">
        <f ca="1">OFFSET(TblMili[[#This Row],[Unit 2]],-1,0) + OFFSET(TblMili[[#This Row],[Train Unit 2]],-9,0)-TblMili[[#This Row],[Release Unit 2]]</f>
        <v>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10825</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2" s="319">
        <f ca="1">TblMili[[#This Row],[Non Draft]]+TblMili[[#This Row],[Draftees]]</f>
        <v>7</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0</v>
      </c>
      <c r="V42" s="319">
        <f ca="1">TblMili[[#This Row],[Draft]] * (1 + TblMili[[#This Row],[Mods_Def]])</f>
        <v>7</v>
      </c>
      <c r="W42" s="319">
        <f ca="1">TblConstr[[#This Row],[Land]]</f>
        <v>454</v>
      </c>
      <c r="X42" s="322"/>
      <c r="Y42" s="327">
        <f ca="1">IF(TblMili[[#This Row],[Set]]&lt;&gt;"",TblMili[[#This Row],[Set]],OFFSET(TblMili[[#This Row],[Draftrate]],-1,0))</f>
        <v>0.9</v>
      </c>
      <c r="Z42" s="113">
        <f ca="1">OFFSET(TblMili[[#This Row],[Draftees]],-1,0)+OFFSET(TblPop[[#This Row],[Draft Growth]],-1,0) - SUM(TblMili[[#This Row],[Train Unit 1]:[Train Wiz]]) - TblMili[[#This Row],[Release Draft]] + SUM(TblMili[[#This Row],[Release Unit 1]:[Release Arch]]) -TblExplore[[#This Row],[Draftees (2)]]</f>
        <v>7</v>
      </c>
      <c r="AA42" s="200"/>
      <c r="AB42" s="234">
        <f ca="1">(TblConstr[[#This Row],[Tot Smi]]+TblConstr[[#This Row],[Dest Smi]])/(TblConstr[[#This Row],[Land]]-TblExplore[[#This Row],[Land Bonus]]*20)</f>
        <v>0</v>
      </c>
      <c r="AC42" s="178"/>
      <c r="AD42" s="318">
        <f>TblMili[[#This Row],[Hour]]</f>
        <v>39</v>
      </c>
      <c r="AE42" s="179">
        <f ca="1">TblExplore[[#This Row],[Time]]</f>
        <v>44406.333333333241</v>
      </c>
      <c r="AF42" s="232"/>
      <c r="AG42" s="232"/>
      <c r="AH42" s="232"/>
      <c r="AI42" s="232"/>
      <c r="AJ42" s="232"/>
      <c r="AK42" s="232"/>
      <c r="AL42" s="232"/>
      <c r="AM42" s="184"/>
      <c r="AN42" s="113">
        <f ca="1">TblProd[[#This Row],[Platinum]]</f>
        <v>25297</v>
      </c>
      <c r="AO42" s="113">
        <f ca="1">INDEX(TblProd[[#Headers],[Lumber]]:TblProd[[#This Row],[Ore]],COUNTA(TblProd[[#Headers],[Lumber]]:TblProd[[#This Row],[Lumber]]),MATCH(Military!$AO$2,TblProd[[#Headers],[Lumber]:[Ore]],0))</f>
        <v>18000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44406.333333333241</v>
      </c>
      <c r="AT42" s="113">
        <f ca="1">TblMili[[#This Row],[Draftees]]</f>
        <v>7</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0.66960352422907488</v>
      </c>
      <c r="BS42" s="208">
        <f ca="1">TblMili[[#This Row],[WG''s]]</f>
        <v>0</v>
      </c>
      <c r="BT42" s="323">
        <f ca="1">IF(mystic_cap="none",TblMili[[#This Row],[Hill]]/mystic_bonus,MIN(mystic_cap,TblMili[[#This Row],[Hill]]/mystic_bonus))</f>
        <v>3.3480176211453743</v>
      </c>
      <c r="BU42" s="323">
        <f ca="1">IF(druid_op_cap="none",TblMili[[#This Row],[Hill]]/druid_op_bonus,MIN(druid_op_cap,TblMili[[#This Row],[Hill]]/druid_op_bonus))</f>
        <v>3.3480176211453743</v>
      </c>
      <c r="BV42" s="323">
        <f ca="1">IF(druid_dp_cap="none",TblMili[[#This Row],[Hill]]/druid_dp_bonus,MIN(druid_dp_cap,TblMili[[#This Row],[Hill]]/druid_dp_bonus))</f>
        <v>3.3480176211453743</v>
      </c>
      <c r="BW42" s="323">
        <f ca="1">MIN(dryad_cap,TblMili[[#This Row],[Hill]]/dryad_bonus)</f>
        <v>3.3480176211453743</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3</v>
      </c>
      <c r="CD42" s="59">
        <f ca="1">MIN(ice_elem_cap,TblMili[[#This Row],[Raw (2)]]*ice_elem_bonus)</f>
        <v>5.5066079295154183E-2</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3.8696035242290749</v>
      </c>
      <c r="CK42"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2" s="113">
        <f ca="1">TblMili[[#This Row],[Mystic bonus]]*TblMili[[#This Row],[Unit 3]]+TblMili[[#This Row],[Druid bonus]]*TblMili[[#This Row],[Unit 4]]</f>
        <v>0</v>
      </c>
      <c r="CM42" s="201">
        <f ca="1">MIN(6,TblMili[[#This Row],[Dryad]]+Races!$F$35)*1.8 +  IF(TblMili[[#This Row],[Dryad]]+Races!$F$35&gt;6,(TblMili[[#This Row],[Dryad]]+Races!$F$35-6)*0.2,0) - Races!$I$19</f>
        <v>3.6696035242290757</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5.4</v>
      </c>
      <c r="CT42" s="201">
        <f ca="1">1.8 * MIN(MAX(TblMili[[#This Row],[Ice Elemental]]+Races!$E$71,Races!$F$71),6)  +  0.45 * MIN(MIN(TblMili[[#This Row],[Ice Elemental]]+Races!$E$71,Races!$F$71),6)  +  0.2 * ( MAX(TblMili[[#This Row],[Ice Elemental]]+Races!$E$71-6,0) + MAX(Races!$F$71-6,0) )  -  Races!$I$71</f>
        <v>9.911894273127686E-2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2" s="184"/>
      <c r="DA42" s="326">
        <f ca="1">(TblMili[[#This Row],[Wizards]]+2*TblMili[[#This Row],[Archmages]])/TblConstr[[#This Row],[Land]]</f>
        <v>5.5066079295154183E-2</v>
      </c>
      <c r="DB42" s="326">
        <f ca="1">TblMili[[#This Row],[Raw (2)]]*(1+race_wizard_strength+IF(TblMili[[#This Row],[Hour]]&gt;72,tech_magical_weaponry_wiz*TblTech[[#This Row],[3-5]],0))</f>
        <v>5.5066079295154183E-2</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108</v>
      </c>
      <c r="C43" s="203">
        <f ca="1">TblPop[[#This Row],[Military%]]</f>
        <v>1.9907834101382488E-2</v>
      </c>
      <c r="D43" s="184"/>
      <c r="E43" s="49">
        <f ca="1">OFFSET(TblMili[[#This Row],[Unit 1]],-1,0) + OFFSET(TblMili[[#This Row],[Train Unit 1]],-9,0) - TblMili[[#This Row],[Release Unit 1]]</f>
        <v>0</v>
      </c>
      <c r="F43" s="49">
        <f ca="1">OFFSET(TblMili[[#This Row],[Unit 2]],-1,0) + OFFSET(TblMili[[#This Row],[Train Unit 2]],-9,0)-TblMili[[#This Row],[Release Unit 2]]</f>
        <v>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10825</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3" s="319">
        <f ca="1">TblMili[[#This Row],[Non Draft]]+TblMili[[#This Row],[Draftees]]</f>
        <v>58</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0</v>
      </c>
      <c r="V43" s="319">
        <f ca="1">TblMili[[#This Row],[Draft]] * (1 + TblMili[[#This Row],[Mods_Def]])</f>
        <v>58</v>
      </c>
      <c r="W43" s="319">
        <f ca="1">TblConstr[[#This Row],[Land]]</f>
        <v>454</v>
      </c>
      <c r="X43" s="322"/>
      <c r="Y43" s="327">
        <f ca="1">IF(TblMili[[#This Row],[Set]]&lt;&gt;"",TblMili[[#This Row],[Set]],OFFSET(TblMili[[#This Row],[Draftrate]],-1,0))</f>
        <v>0.9</v>
      </c>
      <c r="Z43" s="113">
        <f ca="1">OFFSET(TblMili[[#This Row],[Draftees]],-1,0)+OFFSET(TblPop[[#This Row],[Draft Growth]],-1,0) - SUM(TblMili[[#This Row],[Train Unit 1]:[Train Wiz]]) - TblMili[[#This Row],[Release Draft]] + SUM(TblMili[[#This Row],[Release Unit 1]:[Release Arch]]) -TblExplore[[#This Row],[Draftees (2)]]</f>
        <v>58</v>
      </c>
      <c r="AA43" s="200"/>
      <c r="AB43" s="234">
        <f ca="1">(TblConstr[[#This Row],[Tot Smi]]+TblConstr[[#This Row],[Dest Smi]])/(TblConstr[[#This Row],[Land]]-TblExplore[[#This Row],[Land Bonus]]*20)</f>
        <v>0</v>
      </c>
      <c r="AC43" s="178"/>
      <c r="AD43" s="318">
        <f>TblMili[[#This Row],[Hour]]</f>
        <v>40</v>
      </c>
      <c r="AE43" s="179">
        <f ca="1">TblExplore[[#This Row],[Time]]</f>
        <v>44406.374999999905</v>
      </c>
      <c r="AF43" s="232"/>
      <c r="AG43" s="232"/>
      <c r="AH43" s="232"/>
      <c r="AI43" s="232"/>
      <c r="AJ43" s="232"/>
      <c r="AK43" s="232"/>
      <c r="AL43" s="232"/>
      <c r="AM43" s="184"/>
      <c r="AN43" s="113">
        <f ca="1">TblProd[[#This Row],[Platinum]]</f>
        <v>34417</v>
      </c>
      <c r="AO43" s="113">
        <f ca="1">INDEX(TblProd[[#Headers],[Lumber]]:TblProd[[#This Row],[Ore]],COUNTA(TblProd[[#Headers],[Lumber]]:TblProd[[#This Row],[Lumber]]),MATCH(Military!$AO$2,TblProd[[#Headers],[Lumber]:[Ore]],0))</f>
        <v>19200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44406.374999999905</v>
      </c>
      <c r="AT43" s="113">
        <f ca="1">TblMili[[#This Row],[Draftees]]</f>
        <v>58</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0.66960352422907488</v>
      </c>
      <c r="BS43" s="208">
        <f ca="1">TblMili[[#This Row],[WG''s]]</f>
        <v>0</v>
      </c>
      <c r="BT43" s="323">
        <f ca="1">IF(mystic_cap="none",TblMili[[#This Row],[Hill]]/mystic_bonus,MIN(mystic_cap,TblMili[[#This Row],[Hill]]/mystic_bonus))</f>
        <v>3.3480176211453743</v>
      </c>
      <c r="BU43" s="323">
        <f ca="1">IF(druid_op_cap="none",TblMili[[#This Row],[Hill]]/druid_op_bonus,MIN(druid_op_cap,TblMili[[#This Row],[Hill]]/druid_op_bonus))</f>
        <v>3.3480176211453743</v>
      </c>
      <c r="BV43" s="323">
        <f ca="1">IF(druid_dp_cap="none",TblMili[[#This Row],[Hill]]/druid_dp_bonus,MIN(druid_dp_cap,TblMili[[#This Row],[Hill]]/druid_dp_bonus))</f>
        <v>3.3480176211453743</v>
      </c>
      <c r="BW43" s="323">
        <f ca="1">MIN(dryad_cap,TblMili[[#This Row],[Hill]]/dryad_bonus)</f>
        <v>3.3480176211453743</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3</v>
      </c>
      <c r="CD43" s="59">
        <f ca="1">MIN(ice_elem_cap,TblMili[[#This Row],[Raw (2)]]*ice_elem_bonus)</f>
        <v>5.5066079295154183E-2</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3.8696035242290749</v>
      </c>
      <c r="CK43"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3" s="113">
        <f ca="1">TblMili[[#This Row],[Mystic bonus]]*TblMili[[#This Row],[Unit 3]]+TblMili[[#This Row],[Druid bonus]]*TblMili[[#This Row],[Unit 4]]</f>
        <v>0</v>
      </c>
      <c r="CM43" s="201">
        <f ca="1">MIN(6,TblMili[[#This Row],[Dryad]]+Races!$F$35)*1.8 +  IF(TblMili[[#This Row],[Dryad]]+Races!$F$35&gt;6,(TblMili[[#This Row],[Dryad]]+Races!$F$35-6)*0.2,0) - Races!$I$19</f>
        <v>3.6696035242290757</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5.4</v>
      </c>
      <c r="CT43" s="201">
        <f ca="1">1.8 * MIN(MAX(TblMili[[#This Row],[Ice Elemental]]+Races!$E$71,Races!$F$71),6)  +  0.45 * MIN(MIN(TblMili[[#This Row],[Ice Elemental]]+Races!$E$71,Races!$F$71),6)  +  0.2 * ( MAX(TblMili[[#This Row],[Ice Elemental]]+Races!$E$71-6,0) + MAX(Races!$F$71-6,0) )  -  Races!$I$71</f>
        <v>9.911894273127686E-2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3" s="184"/>
      <c r="DA43" s="326">
        <f ca="1">(TblMili[[#This Row],[Wizards]]+2*TblMili[[#This Row],[Archmages]])/TblConstr[[#This Row],[Land]]</f>
        <v>5.5066079295154183E-2</v>
      </c>
      <c r="DB43" s="326">
        <f ca="1">TblMili[[#This Row],[Raw (2)]]*(1+race_wizard_strength+IF(TblMili[[#This Row],[Hour]]&gt;72,tech_magical_weaponry_wiz*TblTech[[#This Row],[3-5]],0))</f>
        <v>5.5066079295154183E-2</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161</v>
      </c>
      <c r="C44" s="203">
        <f ca="1">TblPop[[#This Row],[Military%]]</f>
        <v>2.8225806451612902E-2</v>
      </c>
      <c r="D44" s="184"/>
      <c r="E44" s="49">
        <f ca="1">OFFSET(TblMili[[#This Row],[Unit 1]],-1,0) + OFFSET(TblMili[[#This Row],[Train Unit 1]],-9,0) - TblMili[[#This Row],[Release Unit 1]]</f>
        <v>0</v>
      </c>
      <c r="F44" s="49">
        <f ca="1">OFFSET(TblMili[[#This Row],[Unit 2]],-1,0) + OFFSET(TblMili[[#This Row],[Train Unit 2]],-9,0)-TblMili[[#This Row],[Release Unit 2]]</f>
        <v>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10825</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4" s="319">
        <f ca="1">TblMili[[#This Row],[Non Draft]]+TblMili[[#This Row],[Draftees]]</f>
        <v>111</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0</v>
      </c>
      <c r="V44" s="319">
        <f ca="1">TblMili[[#This Row],[Draft]] * (1 + TblMili[[#This Row],[Mods_Def]])</f>
        <v>111</v>
      </c>
      <c r="W44" s="319">
        <f ca="1">TblConstr[[#This Row],[Land]]</f>
        <v>454</v>
      </c>
      <c r="X44" s="322"/>
      <c r="Y44" s="327">
        <f ca="1">IF(TblMili[[#This Row],[Set]]&lt;&gt;"",TblMili[[#This Row],[Set]],OFFSET(TblMili[[#This Row],[Draftrate]],-1,0))</f>
        <v>0.9</v>
      </c>
      <c r="Z44" s="113">
        <f ca="1">OFFSET(TblMili[[#This Row],[Draftees]],-1,0)+OFFSET(TblPop[[#This Row],[Draft Growth]],-1,0) - SUM(TblMili[[#This Row],[Train Unit 1]:[Train Wiz]]) - TblMili[[#This Row],[Release Draft]] + SUM(TblMili[[#This Row],[Release Unit 1]:[Release Arch]]) -TblExplore[[#This Row],[Draftees (2)]]</f>
        <v>111</v>
      </c>
      <c r="AA44" s="200"/>
      <c r="AB44" s="234">
        <f ca="1">(TblConstr[[#This Row],[Tot Smi]]+TblConstr[[#This Row],[Dest Smi]])/(TblConstr[[#This Row],[Land]]-TblExplore[[#This Row],[Land Bonus]]*20)</f>
        <v>0</v>
      </c>
      <c r="AC44" s="178"/>
      <c r="AD44" s="318">
        <f>TblMili[[#This Row],[Hour]]</f>
        <v>41</v>
      </c>
      <c r="AE44" s="179">
        <f ca="1">TblExplore[[#This Row],[Time]]</f>
        <v>44406.41666666657</v>
      </c>
      <c r="AF44" s="232"/>
      <c r="AG44" s="232"/>
      <c r="AH44" s="232"/>
      <c r="AI44" s="232"/>
      <c r="AJ44" s="232"/>
      <c r="AK44" s="232"/>
      <c r="AL44" s="232"/>
      <c r="AM44" s="184"/>
      <c r="AN44" s="113">
        <f ca="1">TblProd[[#This Row],[Platinum]]</f>
        <v>56098</v>
      </c>
      <c r="AO44" s="113">
        <f ca="1">INDEX(TblProd[[#Headers],[Lumber]]:TblProd[[#This Row],[Ore]],COUNTA(TblProd[[#Headers],[Lumber]]:TblProd[[#This Row],[Lumber]]),MATCH(Military!$AO$2,TblProd[[#Headers],[Lumber]:[Ore]],0))</f>
        <v>20400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44406.41666666657</v>
      </c>
      <c r="AT44" s="113">
        <f ca="1">TblMili[[#This Row],[Draftees]]</f>
        <v>111</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0.66960352422907488</v>
      </c>
      <c r="BS44" s="208">
        <f ca="1">TblMili[[#This Row],[WG''s]]</f>
        <v>0</v>
      </c>
      <c r="BT44" s="323">
        <f ca="1">IF(mystic_cap="none",TblMili[[#This Row],[Hill]]/mystic_bonus,MIN(mystic_cap,TblMili[[#This Row],[Hill]]/mystic_bonus))</f>
        <v>3.3480176211453743</v>
      </c>
      <c r="BU44" s="323">
        <f ca="1">IF(druid_op_cap="none",TblMili[[#This Row],[Hill]]/druid_op_bonus,MIN(druid_op_cap,TblMili[[#This Row],[Hill]]/druid_op_bonus))</f>
        <v>3.3480176211453743</v>
      </c>
      <c r="BV44" s="323">
        <f ca="1">IF(druid_dp_cap="none",TblMili[[#This Row],[Hill]]/druid_dp_bonus,MIN(druid_dp_cap,TblMili[[#This Row],[Hill]]/druid_dp_bonus))</f>
        <v>3.3480176211453743</v>
      </c>
      <c r="BW44" s="323">
        <f ca="1">MIN(dryad_cap,TblMili[[#This Row],[Hill]]/dryad_bonus)</f>
        <v>3.3480176211453743</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3</v>
      </c>
      <c r="CD44" s="59">
        <f ca="1">MIN(ice_elem_cap,TblMili[[#This Row],[Raw (2)]]*ice_elem_bonus)</f>
        <v>5.5066079295154183E-2</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3.8696035242290749</v>
      </c>
      <c r="CK44"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4" s="113">
        <f ca="1">TblMili[[#This Row],[Mystic bonus]]*TblMili[[#This Row],[Unit 3]]+TblMili[[#This Row],[Druid bonus]]*TblMili[[#This Row],[Unit 4]]</f>
        <v>0</v>
      </c>
      <c r="CM44" s="201">
        <f ca="1">MIN(6,TblMili[[#This Row],[Dryad]]+Races!$F$35)*1.8 +  IF(TblMili[[#This Row],[Dryad]]+Races!$F$35&gt;6,(TblMili[[#This Row],[Dryad]]+Races!$F$35-6)*0.2,0) - Races!$I$19</f>
        <v>3.6696035242290757</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5.4</v>
      </c>
      <c r="CT44" s="201">
        <f ca="1">1.8 * MIN(MAX(TblMili[[#This Row],[Ice Elemental]]+Races!$E$71,Races!$F$71),6)  +  0.45 * MIN(MIN(TblMili[[#This Row],[Ice Elemental]]+Races!$E$71,Races!$F$71),6)  +  0.2 * ( MAX(TblMili[[#This Row],[Ice Elemental]]+Races!$E$71-6,0) + MAX(Races!$F$71-6,0) )  -  Races!$I$71</f>
        <v>9.911894273127686E-2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4" s="184"/>
      <c r="DA44" s="326">
        <f ca="1">(TblMili[[#This Row],[Wizards]]+2*TblMili[[#This Row],[Archmages]])/TblConstr[[#This Row],[Land]]</f>
        <v>5.5066079295154183E-2</v>
      </c>
      <c r="DB44" s="326">
        <f ca="1">TblMili[[#This Row],[Raw (2)]]*(1+race_wizard_strength+IF(TblMili[[#This Row],[Hour]]&gt;72,tech_magical_weaponry_wiz*TblTech[[#This Row],[3-5]],0))</f>
        <v>5.5066079295154183E-2</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216</v>
      </c>
      <c r="C45" s="203">
        <f ca="1">TblPop[[#This Row],[Military%]]</f>
        <v>3.6036036036036036E-2</v>
      </c>
      <c r="D45" s="184"/>
      <c r="E45" s="49">
        <f ca="1">OFFSET(TblMili[[#This Row],[Unit 1]],-1,0) + OFFSET(TblMili[[#This Row],[Train Unit 1]],-9,0) - TblMili[[#This Row],[Release Unit 1]]</f>
        <v>0</v>
      </c>
      <c r="F45" s="49">
        <f ca="1">OFFSET(TblMili[[#This Row],[Unit 2]],-1,0) + OFFSET(TblMili[[#This Row],[Train Unit 2]],-9,0)-TblMili[[#This Row],[Release Unit 2]]</f>
        <v>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10825</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5" s="319">
        <f ca="1">TblMili[[#This Row],[Non Draft]]+TblMili[[#This Row],[Draftees]]</f>
        <v>166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0</v>
      </c>
      <c r="V45" s="319">
        <f ca="1">TblMili[[#This Row],[Draft]] * (1 + TblMili[[#This Row],[Mods_Def]])</f>
        <v>166</v>
      </c>
      <c r="W45" s="319">
        <f ca="1">TblConstr[[#This Row],[Land]]</f>
        <v>454</v>
      </c>
      <c r="X45" s="322"/>
      <c r="Y45" s="327">
        <f ca="1">IF(TblMili[[#This Row],[Set]]&lt;&gt;"",TblMili[[#This Row],[Set]],OFFSET(TblMili[[#This Row],[Draftrate]],-1,0))</f>
        <v>0.9</v>
      </c>
      <c r="Z45" s="113">
        <f ca="1">OFFSET(TblMili[[#This Row],[Draftees]],-1,0)+OFFSET(TblPop[[#This Row],[Draft Growth]],-1,0) - SUM(TblMili[[#This Row],[Train Unit 1]:[Train Wiz]]) - TblMili[[#This Row],[Release Draft]] + SUM(TblMili[[#This Row],[Release Unit 1]:[Release Arch]]) -TblExplore[[#This Row],[Draftees (2)]]</f>
        <v>166</v>
      </c>
      <c r="AA45" s="200"/>
      <c r="AB45" s="234">
        <f ca="1">(TblConstr[[#This Row],[Tot Smi]]+TblConstr[[#This Row],[Dest Smi]])/(TblConstr[[#This Row],[Land]]-TblExplore[[#This Row],[Land Bonus]]*20)</f>
        <v>0</v>
      </c>
      <c r="AC45" s="178"/>
      <c r="AD45" s="318">
        <f>TblMili[[#This Row],[Hour]]</f>
        <v>42</v>
      </c>
      <c r="AE45" s="179">
        <f ca="1">TblExplore[[#This Row],[Time]]</f>
        <v>44406.458333333234</v>
      </c>
      <c r="AF45" s="232"/>
      <c r="AG45" s="232"/>
      <c r="AH45" s="232"/>
      <c r="AI45" s="232"/>
      <c r="AJ45" s="232"/>
      <c r="AK45" s="232"/>
      <c r="AL45" s="232"/>
      <c r="AM45" s="184"/>
      <c r="AN45" s="113">
        <f ca="1">TblProd[[#This Row],[Platinum]]</f>
        <v>78451</v>
      </c>
      <c r="AO45" s="113">
        <f ca="1">INDEX(TblProd[[#Headers],[Lumber]]:TblProd[[#This Row],[Ore]],COUNTA(TblProd[[#Headers],[Lumber]]:TblProd[[#This Row],[Lumber]]),MATCH(Military!$AO$2,TblProd[[#Headers],[Lumber]:[Ore]],0))</f>
        <v>21600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44406.458333333234</v>
      </c>
      <c r="AT45" s="113">
        <f ca="1">TblMili[[#This Row],[Draftees]]</f>
        <v>166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0.66960352422907488</v>
      </c>
      <c r="BS45" s="208">
        <f ca="1">TblMili[[#This Row],[WG''s]]</f>
        <v>0</v>
      </c>
      <c r="BT45" s="323">
        <f ca="1">IF(mystic_cap="none",TblMili[[#This Row],[Hill]]/mystic_bonus,MIN(mystic_cap,TblMili[[#This Row],[Hill]]/mystic_bonus))</f>
        <v>3.3480176211453743</v>
      </c>
      <c r="BU45" s="323">
        <f ca="1">IF(druid_op_cap="none",TblMili[[#This Row],[Hill]]/druid_op_bonus,MIN(druid_op_cap,TblMili[[#This Row],[Hill]]/druid_op_bonus))</f>
        <v>3.3480176211453743</v>
      </c>
      <c r="BV45" s="323">
        <f ca="1">IF(druid_dp_cap="none",TblMili[[#This Row],[Hill]]/druid_dp_bonus,MIN(druid_dp_cap,TblMili[[#This Row],[Hill]]/druid_dp_bonus))</f>
        <v>3.3480176211453743</v>
      </c>
      <c r="BW45" s="323">
        <f ca="1">MIN(dryad_cap,TblMili[[#This Row],[Hill]]/dryad_bonus)</f>
        <v>3.3480176211453743</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3</v>
      </c>
      <c r="CD45" s="59">
        <f ca="1">MIN(ice_elem_cap,TblMili[[#This Row],[Raw (2)]]*ice_elem_bonus)</f>
        <v>5.5066079295154183E-2</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3.8696035242290749</v>
      </c>
      <c r="CK45"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5" s="113">
        <f ca="1">TblMili[[#This Row],[Mystic bonus]]*TblMili[[#This Row],[Unit 3]]+TblMili[[#This Row],[Druid bonus]]*TblMili[[#This Row],[Unit 4]]</f>
        <v>0</v>
      </c>
      <c r="CM45" s="201">
        <f ca="1">MIN(6,TblMili[[#This Row],[Dryad]]+Races!$F$35)*1.8 +  IF(TblMili[[#This Row],[Dryad]]+Races!$F$35&gt;6,(TblMili[[#This Row],[Dryad]]+Races!$F$35-6)*0.2,0) - Races!$I$19</f>
        <v>3.6696035242290757</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5.4</v>
      </c>
      <c r="CT45" s="201">
        <f ca="1">1.8 * MIN(MAX(TblMili[[#This Row],[Ice Elemental]]+Races!$E$71,Races!$F$71),6)  +  0.45 * MIN(MIN(TblMili[[#This Row],[Ice Elemental]]+Races!$E$71,Races!$F$71),6)  +  0.2 * ( MAX(TblMili[[#This Row],[Ice Elemental]]+Races!$E$71-6,0) + MAX(Races!$F$71-6,0) )  -  Races!$I$71</f>
        <v>9.911894273127686E-2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5" s="184"/>
      <c r="DA45" s="326">
        <f ca="1">(TblMili[[#This Row],[Wizards]]+2*TblMili[[#This Row],[Archmages]])/TblConstr[[#This Row],[Land]]</f>
        <v>5.5066079295154183E-2</v>
      </c>
      <c r="DB45" s="326">
        <f ca="1">TblMili[[#This Row],[Raw (2)]]*(1+race_wizard_strength+IF(TblMili[[#This Row],[Hour]]&gt;72,tech_magical_weaponry_wiz*TblTech[[#This Row],[3-5]],0))</f>
        <v>5.5066079295154183E-2</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274</v>
      </c>
      <c r="C46" s="203">
        <f ca="1">TblPop[[#This Row],[Military%]]</f>
        <v>4.3512783865332701E-2</v>
      </c>
      <c r="D46" s="184"/>
      <c r="E46" s="49">
        <f ca="1">OFFSET(TblMili[[#This Row],[Unit 1]],-1,0) + OFFSET(TblMili[[#This Row],[Train Unit 1]],-9,0) - TblMili[[#This Row],[Release Unit 1]]</f>
        <v>0</v>
      </c>
      <c r="F46" s="49">
        <f ca="1">OFFSET(TblMili[[#This Row],[Unit 2]],-1,0) + OFFSET(TblMili[[#This Row],[Train Unit 2]],-9,0)-TblMili[[#This Row],[Release Unit 2]]</f>
        <v>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10825</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6" s="319">
        <f ca="1">TblMili[[#This Row],[Non Draft]]+TblMili[[#This Row],[Draftees]]</f>
        <v>224</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0</v>
      </c>
      <c r="V46" s="319">
        <f ca="1">TblMili[[#This Row],[Draft]] * (1 + TblMili[[#This Row],[Mods_Def]])</f>
        <v>224</v>
      </c>
      <c r="W46" s="319">
        <f ca="1">TblConstr[[#This Row],[Land]]</f>
        <v>454</v>
      </c>
      <c r="X46" s="322"/>
      <c r="Y46" s="327">
        <f ca="1">IF(TblMili[[#This Row],[Set]]&lt;&gt;"",TblMili[[#This Row],[Set]],OFFSET(TblMili[[#This Row],[Draftrate]],-1,0))</f>
        <v>0.9</v>
      </c>
      <c r="Z46" s="113">
        <f ca="1">OFFSET(TblMili[[#This Row],[Draftees]],-1,0)+OFFSET(TblPop[[#This Row],[Draft Growth]],-1,0) - SUM(TblMili[[#This Row],[Train Unit 1]:[Train Wiz]]) - TblMili[[#This Row],[Release Draft]] + SUM(TblMili[[#This Row],[Release Unit 1]:[Release Arch]]) -TblExplore[[#This Row],[Draftees (2)]]</f>
        <v>224</v>
      </c>
      <c r="AA46" s="200"/>
      <c r="AB46" s="234">
        <f ca="1">(TblConstr[[#This Row],[Tot Smi]]+TblConstr[[#This Row],[Dest Smi]])/(TblConstr[[#This Row],[Land]]-TblExplore[[#This Row],[Land Bonus]]*20)</f>
        <v>0</v>
      </c>
      <c r="AC46" s="178"/>
      <c r="AD46" s="318">
        <f>TblMili[[#This Row],[Hour]]</f>
        <v>43</v>
      </c>
      <c r="AE46" s="179">
        <f ca="1">TblExplore[[#This Row],[Time]]</f>
        <v>44406.499999999898</v>
      </c>
      <c r="AF46" s="232"/>
      <c r="AG46" s="232"/>
      <c r="AH46" s="232"/>
      <c r="AI46" s="232"/>
      <c r="AJ46" s="232"/>
      <c r="AK46" s="232"/>
      <c r="AL46" s="232"/>
      <c r="AM46" s="184"/>
      <c r="AN46" s="113">
        <f ca="1">TblProd[[#This Row],[Platinum]]</f>
        <v>101502</v>
      </c>
      <c r="AO46" s="113">
        <f ca="1">INDEX(TblProd[[#Headers],[Lumber]]:TblProd[[#This Row],[Ore]],COUNTA(TblProd[[#Headers],[Lumber]]:TblProd[[#This Row],[Lumber]]),MATCH(Military!$AO$2,TblProd[[#Headers],[Lumber]:[Ore]],0))</f>
        <v>22800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44406.499999999898</v>
      </c>
      <c r="AT46" s="113">
        <f ca="1">TblMili[[#This Row],[Draftees]]</f>
        <v>224</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0.66960352422907488</v>
      </c>
      <c r="BS46" s="208">
        <f ca="1">TblMili[[#This Row],[WG''s]]</f>
        <v>0</v>
      </c>
      <c r="BT46" s="323">
        <f ca="1">IF(mystic_cap="none",TblMili[[#This Row],[Hill]]/mystic_bonus,MIN(mystic_cap,TblMili[[#This Row],[Hill]]/mystic_bonus))</f>
        <v>3.3480176211453743</v>
      </c>
      <c r="BU46" s="323">
        <f ca="1">IF(druid_op_cap="none",TblMili[[#This Row],[Hill]]/druid_op_bonus,MIN(druid_op_cap,TblMili[[#This Row],[Hill]]/druid_op_bonus))</f>
        <v>3.3480176211453743</v>
      </c>
      <c r="BV46" s="323">
        <f ca="1">IF(druid_dp_cap="none",TblMili[[#This Row],[Hill]]/druid_dp_bonus,MIN(druid_dp_cap,TblMili[[#This Row],[Hill]]/druid_dp_bonus))</f>
        <v>3.3480176211453743</v>
      </c>
      <c r="BW46" s="323">
        <f ca="1">MIN(dryad_cap,TblMili[[#This Row],[Hill]]/dryad_bonus)</f>
        <v>3.3480176211453743</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3</v>
      </c>
      <c r="CD46" s="59">
        <f ca="1">MIN(ice_elem_cap,TblMili[[#This Row],[Raw (2)]]*ice_elem_bonus)</f>
        <v>5.5066079295154183E-2</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3.8696035242290749</v>
      </c>
      <c r="CK46"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6" s="113">
        <f ca="1">TblMili[[#This Row],[Mystic bonus]]*TblMili[[#This Row],[Unit 3]]+TblMili[[#This Row],[Druid bonus]]*TblMili[[#This Row],[Unit 4]]</f>
        <v>0</v>
      </c>
      <c r="CM46" s="201">
        <f ca="1">MIN(6,TblMili[[#This Row],[Dryad]]+Races!$F$35)*1.8 +  IF(TblMili[[#This Row],[Dryad]]+Races!$F$35&gt;6,(TblMili[[#This Row],[Dryad]]+Races!$F$35-6)*0.2,0) - Races!$I$19</f>
        <v>3.6696035242290757</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5.4</v>
      </c>
      <c r="CT46" s="201">
        <f ca="1">1.8 * MIN(MAX(TblMili[[#This Row],[Ice Elemental]]+Races!$E$71,Races!$F$71),6)  +  0.45 * MIN(MIN(TblMili[[#This Row],[Ice Elemental]]+Races!$E$71,Races!$F$71),6)  +  0.2 * ( MAX(TblMili[[#This Row],[Ice Elemental]]+Races!$E$71-6,0) + MAX(Races!$F$71-6,0) )  -  Races!$I$71</f>
        <v>9.911894273127686E-2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6" s="184"/>
      <c r="DA46" s="326">
        <f ca="1">(TblMili[[#This Row],[Wizards]]+2*TblMili[[#This Row],[Archmages]])/TblConstr[[#This Row],[Land]]</f>
        <v>5.5066079295154183E-2</v>
      </c>
      <c r="DB46" s="326">
        <f ca="1">TblMili[[#This Row],[Raw (2)]]*(1+race_wizard_strength+IF(TblMili[[#This Row],[Hour]]&gt;72,tech_magical_weaponry_wiz*TblTech[[#This Row],[3-5]],0))</f>
        <v>5.5066079295154183E-2</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334</v>
      </c>
      <c r="C47" s="203">
        <f ca="1">TblPop[[#This Row],[Military%]]</f>
        <v>5.050657795251777E-2</v>
      </c>
      <c r="D47" s="184"/>
      <c r="E47" s="49">
        <f ca="1">OFFSET(TblMili[[#This Row],[Unit 1]],-1,0) + OFFSET(TblMili[[#This Row],[Train Unit 1]],-9,0) - TblMili[[#This Row],[Release Unit 1]]</f>
        <v>0</v>
      </c>
      <c r="F47" s="49">
        <f ca="1">OFFSET(TblMili[[#This Row],[Unit 2]],-1,0) + OFFSET(TblMili[[#This Row],[Train Unit 2]],-9,0)-TblMili[[#This Row],[Release Unit 2]]</f>
        <v>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10825</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7" s="319">
        <f ca="1">TblMili[[#This Row],[Non Draft]]+TblMili[[#This Row],[Draftees]]</f>
        <v>284</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0</v>
      </c>
      <c r="V47" s="319">
        <f ca="1">TblMili[[#This Row],[Draft]] * (1 + TblMili[[#This Row],[Mods_Def]])</f>
        <v>284</v>
      </c>
      <c r="W47" s="319">
        <f ca="1">TblConstr[[#This Row],[Land]]</f>
        <v>454</v>
      </c>
      <c r="X47" s="322"/>
      <c r="Y47" s="327">
        <f ca="1">IF(TblMili[[#This Row],[Set]]&lt;&gt;"",TblMili[[#This Row],[Set]],OFFSET(TblMili[[#This Row],[Draftrate]],-1,0))</f>
        <v>0.9</v>
      </c>
      <c r="Z47" s="113">
        <f ca="1">OFFSET(TblMili[[#This Row],[Draftees]],-1,0)+OFFSET(TblPop[[#This Row],[Draft Growth]],-1,0) - SUM(TblMili[[#This Row],[Train Unit 1]:[Train Wiz]]) - TblMili[[#This Row],[Release Draft]] + SUM(TblMili[[#This Row],[Release Unit 1]:[Release Arch]]) -TblExplore[[#This Row],[Draftees (2)]]</f>
        <v>284</v>
      </c>
      <c r="AA47" s="200"/>
      <c r="AB47" s="234">
        <f ca="1">(TblConstr[[#This Row],[Tot Smi]]+TblConstr[[#This Row],[Dest Smi]])/(TblConstr[[#This Row],[Land]]-TblExplore[[#This Row],[Land Bonus]]*20)</f>
        <v>0</v>
      </c>
      <c r="AC47" s="178"/>
      <c r="AD47" s="318">
        <f>TblMili[[#This Row],[Hour]]</f>
        <v>44</v>
      </c>
      <c r="AE47" s="179">
        <f ca="1">TblExplore[[#This Row],[Time]]</f>
        <v>44406.541666666562</v>
      </c>
      <c r="AF47" s="232"/>
      <c r="AG47" s="232"/>
      <c r="AH47" s="232"/>
      <c r="AI47" s="232"/>
      <c r="AJ47" s="232"/>
      <c r="AK47" s="232"/>
      <c r="AL47" s="232"/>
      <c r="AM47" s="184"/>
      <c r="AN47" s="113">
        <f ca="1">TblProd[[#This Row],[Platinum]]</f>
        <v>124559</v>
      </c>
      <c r="AO47" s="113">
        <f ca="1">INDEX(TblProd[[#Headers],[Lumber]]:TblProd[[#This Row],[Ore]],COUNTA(TblProd[[#Headers],[Lumber]]:TblProd[[#This Row],[Lumber]]),MATCH(Military!$AO$2,TblProd[[#Headers],[Lumber]:[Ore]],0))</f>
        <v>24000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44406.541666666562</v>
      </c>
      <c r="AT47" s="113">
        <f ca="1">TblMili[[#This Row],[Draftees]]</f>
        <v>284</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0.66960352422907488</v>
      </c>
      <c r="BS47" s="208">
        <f ca="1">TblMili[[#This Row],[WG''s]]</f>
        <v>0</v>
      </c>
      <c r="BT47" s="323">
        <f ca="1">IF(mystic_cap="none",TblMili[[#This Row],[Hill]]/mystic_bonus,MIN(mystic_cap,TblMili[[#This Row],[Hill]]/mystic_bonus))</f>
        <v>3.3480176211453743</v>
      </c>
      <c r="BU47" s="323">
        <f ca="1">IF(druid_op_cap="none",TblMili[[#This Row],[Hill]]/druid_op_bonus,MIN(druid_op_cap,TblMili[[#This Row],[Hill]]/druid_op_bonus))</f>
        <v>3.3480176211453743</v>
      </c>
      <c r="BV47" s="323">
        <f ca="1">IF(druid_dp_cap="none",TblMili[[#This Row],[Hill]]/druid_dp_bonus,MIN(druid_dp_cap,TblMili[[#This Row],[Hill]]/druid_dp_bonus))</f>
        <v>3.3480176211453743</v>
      </c>
      <c r="BW47" s="323">
        <f ca="1">MIN(dryad_cap,TblMili[[#This Row],[Hill]]/dryad_bonus)</f>
        <v>3.3480176211453743</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3</v>
      </c>
      <c r="CD47" s="59">
        <f ca="1">MIN(ice_elem_cap,TblMili[[#This Row],[Raw (2)]]*ice_elem_bonus)</f>
        <v>5.5066079295154183E-2</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3.8696035242290749</v>
      </c>
      <c r="CK47"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7" s="113">
        <f ca="1">TblMili[[#This Row],[Mystic bonus]]*TblMili[[#This Row],[Unit 3]]+TblMili[[#This Row],[Druid bonus]]*TblMili[[#This Row],[Unit 4]]</f>
        <v>0</v>
      </c>
      <c r="CM47" s="201">
        <f ca="1">MIN(6,TblMili[[#This Row],[Dryad]]+Races!$F$35)*1.8 +  IF(TblMili[[#This Row],[Dryad]]+Races!$F$35&gt;6,(TblMili[[#This Row],[Dryad]]+Races!$F$35-6)*0.2,0) - Races!$I$19</f>
        <v>3.6696035242290757</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5.4</v>
      </c>
      <c r="CT47" s="201">
        <f ca="1">1.8 * MIN(MAX(TblMili[[#This Row],[Ice Elemental]]+Races!$E$71,Races!$F$71),6)  +  0.45 * MIN(MIN(TblMili[[#This Row],[Ice Elemental]]+Races!$E$71,Races!$F$71),6)  +  0.2 * ( MAX(TblMili[[#This Row],[Ice Elemental]]+Races!$E$71-6,0) + MAX(Races!$F$71-6,0) )  -  Races!$I$71</f>
        <v>9.911894273127686E-2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7" s="184"/>
      <c r="DA47" s="326">
        <f ca="1">(TblMili[[#This Row],[Wizards]]+2*TblMili[[#This Row],[Archmages]])/TblConstr[[#This Row],[Land]]</f>
        <v>5.5066079295154183E-2</v>
      </c>
      <c r="DB47" s="326">
        <f ca="1">TblMili[[#This Row],[Raw (2)]]*(1+race_wizard_strength+IF(TblMili[[#This Row],[Hour]]&gt;72,tech_magical_weaponry_wiz*TblTech[[#This Row],[3-5]],0))</f>
        <v>5.5066079295154183E-2</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397</v>
      </c>
      <c r="C48" s="203">
        <f ca="1">TblPop[[#This Row],[Military%]]</f>
        <v>5.7188130221838086E-2</v>
      </c>
      <c r="D48" s="184"/>
      <c r="E48" s="49">
        <f ca="1">OFFSET(TblMili[[#This Row],[Unit 1]],-1,0) + OFFSET(TblMili[[#This Row],[Train Unit 1]],-9,0) - TblMili[[#This Row],[Release Unit 1]]</f>
        <v>0</v>
      </c>
      <c r="F48" s="49">
        <f ca="1">OFFSET(TblMili[[#This Row],[Unit 2]],-1,0) + OFFSET(TblMili[[#This Row],[Train Unit 2]],-9,0)-TblMili[[#This Row],[Release Unit 2]]</f>
        <v>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10825</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8" s="319">
        <f ca="1">TblMili[[#This Row],[Non Draft]]+TblMili[[#This Row],[Draftees]]</f>
        <v>347</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0</v>
      </c>
      <c r="V48" s="319">
        <f ca="1">TblMili[[#This Row],[Draft]] * (1 + TblMili[[#This Row],[Mods_Def]])</f>
        <v>347</v>
      </c>
      <c r="W48" s="319">
        <f ca="1">TblConstr[[#This Row],[Land]]</f>
        <v>454</v>
      </c>
      <c r="X48" s="322"/>
      <c r="Y48" s="327">
        <f ca="1">IF(TblMili[[#This Row],[Set]]&lt;&gt;"",TblMili[[#This Row],[Set]],OFFSET(TblMili[[#This Row],[Draftrate]],-1,0))</f>
        <v>0.9</v>
      </c>
      <c r="Z48" s="113">
        <f ca="1">OFFSET(TblMili[[#This Row],[Draftees]],-1,0)+OFFSET(TblPop[[#This Row],[Draft Growth]],-1,0) - SUM(TblMili[[#This Row],[Train Unit 1]:[Train Wiz]]) - TblMili[[#This Row],[Release Draft]] + SUM(TblMili[[#This Row],[Release Unit 1]:[Release Arch]]) -TblExplore[[#This Row],[Draftees (2)]]</f>
        <v>347</v>
      </c>
      <c r="AA48" s="200"/>
      <c r="AB48" s="234">
        <f ca="1">(TblConstr[[#This Row],[Tot Smi]]+TblConstr[[#This Row],[Dest Smi]])/(TblConstr[[#This Row],[Land]]-TblExplore[[#This Row],[Land Bonus]]*20)</f>
        <v>0</v>
      </c>
      <c r="AC48" s="178"/>
      <c r="AD48" s="318">
        <f>TblMili[[#This Row],[Hour]]</f>
        <v>45</v>
      </c>
      <c r="AE48" s="179">
        <f ca="1">TblExplore[[#This Row],[Time]]</f>
        <v>44406.583333333227</v>
      </c>
      <c r="AF48" s="232"/>
      <c r="AG48" s="232"/>
      <c r="AH48" s="232"/>
      <c r="AI48" s="232"/>
      <c r="AJ48" s="232"/>
      <c r="AK48" s="232"/>
      <c r="AL48" s="232"/>
      <c r="AM48" s="184"/>
      <c r="AN48" s="113">
        <f ca="1">TblProd[[#This Row],[Platinum]]</f>
        <v>147616</v>
      </c>
      <c r="AO48" s="113">
        <f ca="1">INDEX(TblProd[[#Headers],[Lumber]]:TblProd[[#This Row],[Ore]],COUNTA(TblProd[[#Headers],[Lumber]]:TblProd[[#This Row],[Lumber]]),MATCH(Military!$AO$2,TblProd[[#Headers],[Lumber]:[Ore]],0))</f>
        <v>25200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44406.583333333227</v>
      </c>
      <c r="AT48" s="113">
        <f ca="1">TblMili[[#This Row],[Draftees]]</f>
        <v>347</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0.66960352422907488</v>
      </c>
      <c r="BS48" s="208">
        <f ca="1">TblMili[[#This Row],[WG''s]]</f>
        <v>0</v>
      </c>
      <c r="BT48" s="323">
        <f ca="1">IF(mystic_cap="none",TblMili[[#This Row],[Hill]]/mystic_bonus,MIN(mystic_cap,TblMili[[#This Row],[Hill]]/mystic_bonus))</f>
        <v>3.3480176211453743</v>
      </c>
      <c r="BU48" s="323">
        <f ca="1">IF(druid_op_cap="none",TblMili[[#This Row],[Hill]]/druid_op_bonus,MIN(druid_op_cap,TblMili[[#This Row],[Hill]]/druid_op_bonus))</f>
        <v>3.3480176211453743</v>
      </c>
      <c r="BV48" s="323">
        <f ca="1">IF(druid_dp_cap="none",TblMili[[#This Row],[Hill]]/druid_dp_bonus,MIN(druid_dp_cap,TblMili[[#This Row],[Hill]]/druid_dp_bonus))</f>
        <v>3.3480176211453743</v>
      </c>
      <c r="BW48" s="323">
        <f ca="1">MIN(dryad_cap,TblMili[[#This Row],[Hill]]/dryad_bonus)</f>
        <v>3.3480176211453743</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3</v>
      </c>
      <c r="CD48" s="59">
        <f ca="1">MIN(ice_elem_cap,TblMili[[#This Row],[Raw (2)]]*ice_elem_bonus)</f>
        <v>5.5066079295154183E-2</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3.8696035242290749</v>
      </c>
      <c r="CK48"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8" s="113">
        <f ca="1">TblMili[[#This Row],[Mystic bonus]]*TblMili[[#This Row],[Unit 3]]+TblMili[[#This Row],[Druid bonus]]*TblMili[[#This Row],[Unit 4]]</f>
        <v>0</v>
      </c>
      <c r="CM48" s="201">
        <f ca="1">MIN(6,TblMili[[#This Row],[Dryad]]+Races!$F$35)*1.8 +  IF(TblMili[[#This Row],[Dryad]]+Races!$F$35&gt;6,(TblMili[[#This Row],[Dryad]]+Races!$F$35-6)*0.2,0) - Races!$I$19</f>
        <v>3.6696035242290757</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5.4</v>
      </c>
      <c r="CT48" s="201">
        <f ca="1">1.8 * MIN(MAX(TblMili[[#This Row],[Ice Elemental]]+Races!$E$71,Races!$F$71),6)  +  0.45 * MIN(MIN(TblMili[[#This Row],[Ice Elemental]]+Races!$E$71,Races!$F$71),6)  +  0.2 * ( MAX(TblMili[[#This Row],[Ice Elemental]]+Races!$E$71-6,0) + MAX(Races!$F$71-6,0) )  -  Races!$I$71</f>
        <v>9.911894273127686E-2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8" s="184"/>
      <c r="DA48" s="326">
        <f ca="1">(TblMili[[#This Row],[Wizards]]+2*TblMili[[#This Row],[Archmages]])/TblConstr[[#This Row],[Land]]</f>
        <v>5.5066079295154183E-2</v>
      </c>
      <c r="DB48" s="326">
        <f ca="1">TblMili[[#This Row],[Raw (2)]]*(1+race_wizard_strength+IF(TblMili[[#This Row],[Hour]]&gt;72,tech_magical_weaponry_wiz*TblTech[[#This Row],[3-5]],0))</f>
        <v>5.5066079295154183E-2</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462</v>
      </c>
      <c r="C49" s="203">
        <f ca="1">TblPop[[#This Row],[Military%]]</f>
        <v>6.476030277544155E-2</v>
      </c>
      <c r="D49" s="184"/>
      <c r="E49" s="49">
        <f ca="1">OFFSET(TblMili[[#This Row],[Unit 1]],-1,0) + OFFSET(TblMili[[#This Row],[Train Unit 1]],-9,0) - TblMili[[#This Row],[Release Unit 1]]</f>
        <v>0</v>
      </c>
      <c r="F49" s="49">
        <f ca="1">OFFSET(TblMili[[#This Row],[Unit 2]],-1,0) + OFFSET(TblMili[[#This Row],[Train Unit 2]],-9,0)-TblMili[[#This Row],[Release Unit 2]]</f>
        <v>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10825</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9" s="319">
        <f ca="1">TblMili[[#This Row],[Non Draft]]+TblMili[[#This Row],[Draftees]]</f>
        <v>412</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0</v>
      </c>
      <c r="V49" s="319">
        <f ca="1">TblMili[[#This Row],[Draft]] * (1 + TblMili[[#This Row],[Mods_Def]])</f>
        <v>412</v>
      </c>
      <c r="W49" s="319">
        <f ca="1">TblConstr[[#This Row],[Land]]</f>
        <v>454</v>
      </c>
      <c r="X49" s="322"/>
      <c r="Y49" s="327">
        <f ca="1">IF(TblMili[[#This Row],[Set]]&lt;&gt;"",TblMili[[#This Row],[Set]],OFFSET(TblMili[[#This Row],[Draftrate]],-1,0))</f>
        <v>0.9</v>
      </c>
      <c r="Z49" s="113">
        <f ca="1">OFFSET(TblMili[[#This Row],[Draftees]],-1,0)+OFFSET(TblPop[[#This Row],[Draft Growth]],-1,0) - SUM(TblMili[[#This Row],[Train Unit 1]:[Train Wiz]]) - TblMili[[#This Row],[Release Draft]] + SUM(TblMili[[#This Row],[Release Unit 1]:[Release Arch]]) -TblExplore[[#This Row],[Draftees (2)]]</f>
        <v>412</v>
      </c>
      <c r="AA49" s="200"/>
      <c r="AB49" s="234">
        <f ca="1">(TblConstr[[#This Row],[Tot Smi]]+TblConstr[[#This Row],[Dest Smi]])/(TblConstr[[#This Row],[Land]]-TblExplore[[#This Row],[Land Bonus]]*20)</f>
        <v>0</v>
      </c>
      <c r="AC49" s="178"/>
      <c r="AD49" s="318">
        <f>TblMili[[#This Row],[Hour]]</f>
        <v>46</v>
      </c>
      <c r="AE49" s="179">
        <f ca="1">TblExplore[[#This Row],[Time]]</f>
        <v>44406.624999999891</v>
      </c>
      <c r="AF49" s="232"/>
      <c r="AG49" s="232"/>
      <c r="AH49" s="232"/>
      <c r="AI49" s="232"/>
      <c r="AJ49" s="232"/>
      <c r="AK49" s="232"/>
      <c r="AL49" s="232"/>
      <c r="AM49" s="184"/>
      <c r="AN49" s="113">
        <f ca="1">TblProd[[#This Row],[Platinum]]</f>
        <v>170673</v>
      </c>
      <c r="AO49" s="113">
        <f ca="1">INDEX(TblProd[[#Headers],[Lumber]]:TblProd[[#This Row],[Ore]],COUNTA(TblProd[[#Headers],[Lumber]]:TblProd[[#This Row],[Lumber]]),MATCH(Military!$AO$2,TblProd[[#Headers],[Lumber]:[Ore]],0))</f>
        <v>26400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44406.624999999891</v>
      </c>
      <c r="AT49" s="113">
        <f ca="1">TblMili[[#This Row],[Draftees]]</f>
        <v>412</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0.66960352422907488</v>
      </c>
      <c r="BS49" s="208">
        <f ca="1">TblMili[[#This Row],[WG''s]]</f>
        <v>0</v>
      </c>
      <c r="BT49" s="323">
        <f ca="1">IF(mystic_cap="none",TblMili[[#This Row],[Hill]]/mystic_bonus,MIN(mystic_cap,TblMili[[#This Row],[Hill]]/mystic_bonus))</f>
        <v>3.3480176211453743</v>
      </c>
      <c r="BU49" s="323">
        <f ca="1">IF(druid_op_cap="none",TblMili[[#This Row],[Hill]]/druid_op_bonus,MIN(druid_op_cap,TblMili[[#This Row],[Hill]]/druid_op_bonus))</f>
        <v>3.3480176211453743</v>
      </c>
      <c r="BV49" s="323">
        <f ca="1">IF(druid_dp_cap="none",TblMili[[#This Row],[Hill]]/druid_dp_bonus,MIN(druid_dp_cap,TblMili[[#This Row],[Hill]]/druid_dp_bonus))</f>
        <v>3.3480176211453743</v>
      </c>
      <c r="BW49" s="323">
        <f ca="1">MIN(dryad_cap,TblMili[[#This Row],[Hill]]/dryad_bonus)</f>
        <v>3.3480176211453743</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3</v>
      </c>
      <c r="CD49" s="59">
        <f ca="1">MIN(ice_elem_cap,TblMili[[#This Row],[Raw (2)]]*ice_elem_bonus)</f>
        <v>5.5066079295154183E-2</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3.8696035242290749</v>
      </c>
      <c r="CK49"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9" s="113">
        <f ca="1">TblMili[[#This Row],[Mystic bonus]]*TblMili[[#This Row],[Unit 3]]+TblMili[[#This Row],[Druid bonus]]*TblMili[[#This Row],[Unit 4]]</f>
        <v>0</v>
      </c>
      <c r="CM49" s="201">
        <f ca="1">MIN(6,TblMili[[#This Row],[Dryad]]+Races!$F$35)*1.8 +  IF(TblMili[[#This Row],[Dryad]]+Races!$F$35&gt;6,(TblMili[[#This Row],[Dryad]]+Races!$F$35-6)*0.2,0) - Races!$I$19</f>
        <v>3.6696035242290757</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5.4</v>
      </c>
      <c r="CT49" s="201">
        <f ca="1">1.8 * MIN(MAX(TblMili[[#This Row],[Ice Elemental]]+Races!$E$71,Races!$F$71),6)  +  0.45 * MIN(MIN(TblMili[[#This Row],[Ice Elemental]]+Races!$E$71,Races!$F$71),6)  +  0.2 * ( MAX(TblMili[[#This Row],[Ice Elemental]]+Races!$E$71-6,0) + MAX(Races!$F$71-6,0) )  -  Races!$I$71</f>
        <v>9.911894273127686E-2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9" s="184"/>
      <c r="DA49" s="326">
        <f ca="1">(TblMili[[#This Row],[Wizards]]+2*TblMili[[#This Row],[Archmages]])/TblConstr[[#This Row],[Land]]</f>
        <v>5.5066079295154183E-2</v>
      </c>
      <c r="DB49" s="326">
        <f ca="1">TblMili[[#This Row],[Raw (2)]]*(1+race_wizard_strength+IF(TblMili[[#This Row],[Hour]]&gt;72,tech_magical_weaponry_wiz*TblTech[[#This Row],[3-5]],0))</f>
        <v>5.5066079295154183E-2</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529</v>
      </c>
      <c r="C50" s="203">
        <f ca="1">TblPop[[#This Row],[Military%]]</f>
        <v>7.0778699491570785E-2</v>
      </c>
      <c r="D50" s="184"/>
      <c r="E50" s="49">
        <f ca="1">OFFSET(TblMili[[#This Row],[Unit 1]],-1,0) + OFFSET(TblMili[[#This Row],[Train Unit 1]],-9,0) - TblMili[[#This Row],[Release Unit 1]]</f>
        <v>0</v>
      </c>
      <c r="F50" s="49">
        <f ca="1">OFFSET(TblMili[[#This Row],[Unit 2]],-1,0) + OFFSET(TblMili[[#This Row],[Train Unit 2]],-9,0)-TblMili[[#This Row],[Release Unit 2]]</f>
        <v>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12745</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0" s="319">
        <f ca="1">TblMili[[#This Row],[Non Draft]]+TblMili[[#This Row],[Draftees]]</f>
        <v>479</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0</v>
      </c>
      <c r="V50" s="319">
        <f ca="1">TblMili[[#This Row],[Draft]] * (1 + TblMili[[#This Row],[Mods_Def]])</f>
        <v>479</v>
      </c>
      <c r="W50" s="319">
        <f ca="1">TblConstr[[#This Row],[Land]]</f>
        <v>550</v>
      </c>
      <c r="X50" s="322"/>
      <c r="Y50" s="327">
        <f ca="1">IF(TblMili[[#This Row],[Set]]&lt;&gt;"",TblMili[[#This Row],[Set]],OFFSET(TblMili[[#This Row],[Draftrate]],-1,0))</f>
        <v>0.9</v>
      </c>
      <c r="Z50" s="113">
        <f ca="1">OFFSET(TblMili[[#This Row],[Draftees]],-1,0)+OFFSET(TblPop[[#This Row],[Draft Growth]],-1,0) - SUM(TblMili[[#This Row],[Train Unit 1]:[Train Wiz]]) - TblMili[[#This Row],[Release Draft]] + SUM(TblMili[[#This Row],[Release Unit 1]:[Release Arch]]) -TblExplore[[#This Row],[Draftees (2)]]</f>
        <v>479</v>
      </c>
      <c r="AA50" s="200"/>
      <c r="AB50" s="234">
        <f ca="1">(TblConstr[[#This Row],[Tot Smi]]+TblConstr[[#This Row],[Dest Smi]])/(TblConstr[[#This Row],[Land]]-TblExplore[[#This Row],[Land Bonus]]*20)</f>
        <v>0</v>
      </c>
      <c r="AC50" s="178"/>
      <c r="AD50" s="318">
        <f>TblMili[[#This Row],[Hour]]</f>
        <v>47</v>
      </c>
      <c r="AE50" s="179">
        <f ca="1">TblExplore[[#This Row],[Time]]</f>
        <v>44406.666666666555</v>
      </c>
      <c r="AF50" s="232"/>
      <c r="AG50" s="232"/>
      <c r="AH50" s="232"/>
      <c r="AI50" s="232"/>
      <c r="AJ50" s="232"/>
      <c r="AK50" s="232"/>
      <c r="AL50" s="232"/>
      <c r="AM50" s="184"/>
      <c r="AN50" s="113">
        <f ca="1">TblProd[[#This Row],[Platinum]]</f>
        <v>122786</v>
      </c>
      <c r="AO50" s="113">
        <f ca="1">INDEX(TblProd[[#Headers],[Lumber]]:TblProd[[#This Row],[Ore]],COUNTA(TblProd[[#Headers],[Lumber]]:TblProd[[#This Row],[Lumber]]),MATCH(Military!$AO$2,TblProd[[#Headers],[Lumber]:[Ore]],0))</f>
        <v>27600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44406.666666666555</v>
      </c>
      <c r="AT50" s="113">
        <f ca="1">TblMili[[#This Row],[Draftees]]</f>
        <v>479</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0.72727272727272729</v>
      </c>
      <c r="BS50" s="208">
        <f ca="1">TblMili[[#This Row],[WG''s]]</f>
        <v>0</v>
      </c>
      <c r="BT50" s="323">
        <f ca="1">IF(mystic_cap="none",TblMili[[#This Row],[Hill]]/mystic_bonus,MIN(mystic_cap,TblMili[[#This Row],[Hill]]/mystic_bonus))</f>
        <v>3.6363636363636362</v>
      </c>
      <c r="BU50" s="323">
        <f ca="1">IF(druid_op_cap="none",TblMili[[#This Row],[Hill]]/druid_op_bonus,MIN(druid_op_cap,TblMili[[#This Row],[Hill]]/druid_op_bonus))</f>
        <v>3.6363636363636362</v>
      </c>
      <c r="BV50" s="323">
        <f ca="1">IF(druid_dp_cap="none",TblMili[[#This Row],[Hill]]/druid_dp_bonus,MIN(druid_dp_cap,TblMili[[#This Row],[Hill]]/druid_dp_bonus))</f>
        <v>3.6363636363636362</v>
      </c>
      <c r="BW50" s="323">
        <f ca="1">MIN(dryad_cap,TblMili[[#This Row],[Hill]]/dryad_bonus)</f>
        <v>3.6363636363636362</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3</v>
      </c>
      <c r="CD50" s="59">
        <f ca="1">MIN(ice_elem_cap,TblMili[[#This Row],[Raw (2)]]*ice_elem_bonus)</f>
        <v>4.5454545454545456E-2</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3.9272727272727286</v>
      </c>
      <c r="CK50" s="323">
        <f ca="1">1.8 * MIN(MAX(TblMili[[#This Row],[Druid (op)]]+Races!$E$20,TblMili[[#This Row],[Druid (dp)]]+Races!$F$20),6)  +  0.45 * MIN(MIN(TblMili[[#This Row],[Druid (op)]]+Races!$E$20,TblMili[[#This Row],[Druid (dp)]]+Races!$F$20),6)  +  0.2 * ( MAX(TblMili[[#This Row],[Druid (op)]]+Races!$E$20-6,0) + MAX(TblMili[[#This Row],[Druid (dp)]]+Races!$F$20-6,0) )  -  Races!$I$20</f>
        <v>7.1636363636363631</v>
      </c>
      <c r="CL50" s="113">
        <f ca="1">TblMili[[#This Row],[Mystic bonus]]*TblMili[[#This Row],[Unit 3]]+TblMili[[#This Row],[Druid bonus]]*TblMili[[#This Row],[Unit 4]]</f>
        <v>0</v>
      </c>
      <c r="CM50" s="201">
        <f ca="1">MIN(6,TblMili[[#This Row],[Dryad]]+Races!$F$35)*1.8 +  IF(TblMili[[#This Row],[Dryad]]+Races!$F$35&gt;6,(TblMili[[#This Row],[Dryad]]+Races!$F$35-6)*0.2,0) - Races!$I$19</f>
        <v>3.7272727272727275</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5.4</v>
      </c>
      <c r="CT50" s="201">
        <f ca="1">1.8 * MIN(MAX(TblMili[[#This Row],[Ice Elemental]]+Races!$E$71,Races!$F$71),6)  +  0.45 * MIN(MIN(TblMili[[#This Row],[Ice Elemental]]+Races!$E$71,Races!$F$71),6)  +  0.2 * ( MAX(TblMili[[#This Row],[Ice Elemental]]+Races!$E$71-6,0) + MAX(Races!$F$71-6,0) )  -  Races!$I$71</f>
        <v>8.1818181818182012E-2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12745</v>
      </c>
      <c r="CZ50" s="184"/>
      <c r="DA50" s="326">
        <f ca="1">(TblMili[[#This Row],[Wizards]]+2*TblMili[[#This Row],[Archmages]])/TblConstr[[#This Row],[Land]]</f>
        <v>4.5454545454545456E-2</v>
      </c>
      <c r="DB50" s="326">
        <f ca="1">TblMili[[#This Row],[Raw (2)]]*(1+race_wizard_strength+IF(TblMili[[#This Row],[Hour]]&gt;72,tech_magical_weaponry_wiz*TblTech[[#This Row],[3-5]],0))</f>
        <v>4.5454545454545456E-2</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598</v>
      </c>
      <c r="C51" s="203">
        <f ca="1">TblPop[[#This Row],[Military%]]</f>
        <v>7.6392437404190092E-2</v>
      </c>
      <c r="D51" s="184"/>
      <c r="E51" s="49">
        <f ca="1">OFFSET(TblMili[[#This Row],[Unit 1]],-1,0) + OFFSET(TblMili[[#This Row],[Train Unit 1]],-9,0) - TblMili[[#This Row],[Release Unit 1]]</f>
        <v>0</v>
      </c>
      <c r="F51" s="49">
        <f ca="1">OFFSET(TblMili[[#This Row],[Unit 2]],-1,0) + OFFSET(TblMili[[#This Row],[Train Unit 2]],-9,0)-TblMili[[#This Row],[Release Unit 2]]</f>
        <v>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13560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1" s="319">
        <f ca="1">TblMili[[#This Row],[Non Draft]]+TblMili[[#This Row],[Draftees]]</f>
        <v>548</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0</v>
      </c>
      <c r="V51" s="319">
        <f ca="1">TblMili[[#This Row],[Draft]] * (1 + TblMili[[#This Row],[Mods_Def]])</f>
        <v>548</v>
      </c>
      <c r="W51" s="319">
        <f ca="1">TblConstr[[#This Row],[Land]]</f>
        <v>557</v>
      </c>
      <c r="X51" s="322"/>
      <c r="Y51" s="327">
        <f ca="1">IF(TblMili[[#This Row],[Set]]&lt;&gt;"",TblMili[[#This Row],[Set]],OFFSET(TblMili[[#This Row],[Draftrate]],-1,0))</f>
        <v>0.9</v>
      </c>
      <c r="Z51" s="113">
        <f ca="1">OFFSET(TblMili[[#This Row],[Draftees]],-1,0)+OFFSET(TblPop[[#This Row],[Draft Growth]],-1,0) - SUM(TblMili[[#This Row],[Train Unit 1]:[Train Wiz]]) - TblMili[[#This Row],[Release Draft]] + SUM(TblMili[[#This Row],[Release Unit 1]:[Release Arch]]) -TblExplore[[#This Row],[Draftees (2)]]</f>
        <v>548</v>
      </c>
      <c r="AA51" s="200"/>
      <c r="AB51" s="234">
        <f ca="1">(TblConstr[[#This Row],[Tot Smi]]+TblConstr[[#This Row],[Dest Smi]])/(TblConstr[[#This Row],[Land]]-TblExplore[[#This Row],[Land Bonus]]*20)</f>
        <v>0</v>
      </c>
      <c r="AC51" s="178"/>
      <c r="AD51" s="318">
        <f>TblMili[[#This Row],[Hour]]</f>
        <v>48</v>
      </c>
      <c r="AE51" s="179">
        <f ca="1">TblExplore[[#This Row],[Time]]</f>
        <v>44406.708333333219</v>
      </c>
      <c r="AF51" s="232"/>
      <c r="AG51" s="232"/>
      <c r="AH51" s="232"/>
      <c r="AI51" s="232"/>
      <c r="AJ51" s="232"/>
      <c r="AK51" s="232"/>
      <c r="AL51" s="232"/>
      <c r="AM51" s="184"/>
      <c r="AN51" s="113">
        <f ca="1">TblProd[[#This Row],[Platinum]]</f>
        <v>179048</v>
      </c>
      <c r="AO51" s="113">
        <f ca="1">INDEX(TblProd[[#Headers],[Lumber]]:TblProd[[#This Row],[Ore]],COUNTA(TblProd[[#Headers],[Lumber]]:TblProd[[#This Row],[Lumber]]),MATCH(Military!$AO$2,TblProd[[#Headers],[Lumber]:[Ore]],0))</f>
        <v>29400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44406.708333333219</v>
      </c>
      <c r="AT51" s="113">
        <f ca="1">TblMili[[#This Row],[Draftees]]</f>
        <v>548</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0.73070017953321365</v>
      </c>
      <c r="BS51" s="208">
        <f ca="1">TblMili[[#This Row],[WG''s]]</f>
        <v>0</v>
      </c>
      <c r="BT51" s="323">
        <f ca="1">IF(mystic_cap="none",TblMili[[#This Row],[Hill]]/mystic_bonus,MIN(mystic_cap,TblMili[[#This Row],[Hill]]/mystic_bonus))</f>
        <v>3.6535008976660679</v>
      </c>
      <c r="BU51" s="323">
        <f ca="1">IF(druid_op_cap="none",TblMili[[#This Row],[Hill]]/druid_op_bonus,MIN(druid_op_cap,TblMili[[#This Row],[Hill]]/druid_op_bonus))</f>
        <v>3.6535008976660679</v>
      </c>
      <c r="BV51" s="323">
        <f ca="1">IF(druid_dp_cap="none",TblMili[[#This Row],[Hill]]/druid_dp_bonus,MIN(druid_dp_cap,TblMili[[#This Row],[Hill]]/druid_dp_bonus))</f>
        <v>3.6535008976660679</v>
      </c>
      <c r="BW51" s="323">
        <f ca="1">MIN(dryad_cap,TblMili[[#This Row],[Hill]]/dryad_bonus)</f>
        <v>3.6535008976660679</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3</v>
      </c>
      <c r="CD51" s="59">
        <f ca="1">MIN(ice_elem_cap,TblMili[[#This Row],[Raw (2)]]*ice_elem_bonus)</f>
        <v>4.4883303411131059E-2</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3.9307001795332139</v>
      </c>
      <c r="CK51" s="323">
        <f ca="1">1.8 * MIN(MAX(TblMili[[#This Row],[Druid (op)]]+Races!$E$20,TblMili[[#This Row],[Druid (dp)]]+Races!$F$20),6)  +  0.45 * MIN(MIN(TblMili[[#This Row],[Druid (op)]]+Races!$E$20,TblMili[[#This Row],[Druid (dp)]]+Races!$F$20),6)  +  0.2 * ( MAX(TblMili[[#This Row],[Druid (op)]]+Races!$E$20-6,0) + MAX(TblMili[[#This Row],[Druid (dp)]]+Races!$F$20-6,0) )  -  Races!$I$20</f>
        <v>7.174775583482945</v>
      </c>
      <c r="CL51" s="113">
        <f ca="1">TblMili[[#This Row],[Mystic bonus]]*TblMili[[#This Row],[Unit 3]]+TblMili[[#This Row],[Druid bonus]]*TblMili[[#This Row],[Unit 4]]</f>
        <v>0</v>
      </c>
      <c r="CM51" s="201">
        <f ca="1">MIN(6,TblMili[[#This Row],[Dryad]]+Races!$F$35)*1.8 +  IF(TblMili[[#This Row],[Dryad]]+Races!$F$35&gt;6,(TblMili[[#This Row],[Dryad]]+Races!$F$35-6)*0.2,0) - Races!$I$19</f>
        <v>3.7307001795332146</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5.4</v>
      </c>
      <c r="CT51" s="201">
        <f ca="1">1.8 * MIN(MAX(TblMili[[#This Row],[Ice Elemental]]+Races!$E$71,Races!$F$71),6)  +  0.45 * MIN(MIN(TblMili[[#This Row],[Ice Elemental]]+Races!$E$71,Races!$F$71),6)  +  0.2 * ( MAX(TblMili[[#This Row],[Ice Elemental]]+Races!$E$71-6,0) + MAX(Races!$F$71-6,0) )  -  Races!$I$71</f>
        <v>8.0789946140034985E-2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13560</v>
      </c>
      <c r="CZ51" s="184"/>
      <c r="DA51" s="326">
        <f ca="1">(TblMili[[#This Row],[Wizards]]+2*TblMili[[#This Row],[Archmages]])/TblConstr[[#This Row],[Land]]</f>
        <v>4.4883303411131059E-2</v>
      </c>
      <c r="DB51" s="326">
        <f ca="1">TblMili[[#This Row],[Raw (2)]]*(1+race_wizard_strength+IF(TblMili[[#This Row],[Hour]]&gt;72,tech_magical_weaponry_wiz*TblTech[[#This Row],[3-5]],0))</f>
        <v>4.4883303411131059E-2</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670</v>
      </c>
      <c r="C52" s="203">
        <f ca="1">TblPop[[#This Row],[Military%]]</f>
        <v>8.1747193753050271E-2</v>
      </c>
      <c r="D52" s="184"/>
      <c r="E52" s="49">
        <f ca="1">OFFSET(TblMili[[#This Row],[Unit 1]],-1,0) + OFFSET(TblMili[[#This Row],[Train Unit 1]],-9,0) - TblMili[[#This Row],[Release Unit 1]]</f>
        <v>0</v>
      </c>
      <c r="F52" s="49">
        <f ca="1">OFFSET(TblMili[[#This Row],[Unit 2]],-1,0) + OFFSET(TblMili[[#This Row],[Train Unit 2]],-9,0)-TblMili[[#This Row],[Release Unit 2]]</f>
        <v>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14120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2" s="319">
        <f ca="1">TblMili[[#This Row],[Non Draft]]+TblMili[[#This Row],[Draftees]]</f>
        <v>620</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0</v>
      </c>
      <c r="V52" s="319">
        <f ca="1">TblMili[[#This Row],[Draft]] * (1 + TblMili[[#This Row],[Mods_Def]])</f>
        <v>620</v>
      </c>
      <c r="W52" s="319">
        <f ca="1">TblConstr[[#This Row],[Land]]</f>
        <v>585</v>
      </c>
      <c r="X52" s="322"/>
      <c r="Y52" s="327">
        <f ca="1">IF(TblMili[[#This Row],[Set]]&lt;&gt;"",TblMili[[#This Row],[Set]],OFFSET(TblMili[[#This Row],[Draftrate]],-1,0))</f>
        <v>0.9</v>
      </c>
      <c r="Z52" s="113">
        <f ca="1">OFFSET(TblMili[[#This Row],[Draftees]],-1,0)+OFFSET(TblPop[[#This Row],[Draft Growth]],-1,0) - SUM(TblMili[[#This Row],[Train Unit 1]:[Train Wiz]]) - TblMili[[#This Row],[Release Draft]] + SUM(TblMili[[#This Row],[Release Unit 1]:[Release Arch]]) -TblExplore[[#This Row],[Draftees (2)]]</f>
        <v>620</v>
      </c>
      <c r="AA52" s="200"/>
      <c r="AB52" s="234">
        <f ca="1">(TblConstr[[#This Row],[Tot Smi]]+TblConstr[[#This Row],[Dest Smi]])/(TblConstr[[#This Row],[Land]]-TblExplore[[#This Row],[Land Bonus]]*20)</f>
        <v>0</v>
      </c>
      <c r="AC52" s="328"/>
      <c r="AD52" s="329">
        <f>TblMili[[#This Row],[Hour]]</f>
        <v>49</v>
      </c>
      <c r="AE52" s="179">
        <f ca="1">TblExplore[[#This Row],[Time]]</f>
        <v>44406.749999999884</v>
      </c>
      <c r="AF52" s="232"/>
      <c r="AG52" s="232"/>
      <c r="AH52" s="232"/>
      <c r="AI52" s="232"/>
      <c r="AJ52" s="232"/>
      <c r="AK52" s="232"/>
      <c r="AL52" s="232"/>
      <c r="AM52" s="184"/>
      <c r="AN52" s="113">
        <f ca="1">TblProd[[#This Row],[Platinum]]</f>
        <v>190631</v>
      </c>
      <c r="AO52" s="113">
        <f ca="1">INDEX(TblProd[[#Headers],[Lumber]]:TblProd[[#This Row],[Ore]],COUNTA(TblProd[[#Headers],[Lumber]]:TblProd[[#This Row],[Lumber]]),MATCH(Military!$AO$2,TblProd[[#Headers],[Lumber]:[Ore]],0))</f>
        <v>31200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44406.749999999884</v>
      </c>
      <c r="AT52" s="113">
        <f ca="1">TblMili[[#This Row],[Draftees]]</f>
        <v>620</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0.74358974358974361</v>
      </c>
      <c r="BS52" s="208">
        <f ca="1">TblMili[[#This Row],[WG''s]]</f>
        <v>0</v>
      </c>
      <c r="BT52" s="323">
        <f ca="1">IF(mystic_cap="none",TblMili[[#This Row],[Hill]]/mystic_bonus,MIN(mystic_cap,TblMili[[#This Row],[Hill]]/mystic_bonus))</f>
        <v>3.7179487179487181</v>
      </c>
      <c r="BU52" s="323">
        <f ca="1">IF(druid_op_cap="none",TblMili[[#This Row],[Hill]]/druid_op_bonus,MIN(druid_op_cap,TblMili[[#This Row],[Hill]]/druid_op_bonus))</f>
        <v>3.7179487179487181</v>
      </c>
      <c r="BV52" s="323">
        <f ca="1">IF(druid_dp_cap="none",TblMili[[#This Row],[Hill]]/druid_dp_bonus,MIN(druid_dp_cap,TblMili[[#This Row],[Hill]]/druid_dp_bonus))</f>
        <v>3.7179487179487181</v>
      </c>
      <c r="BW52" s="323">
        <f ca="1">MIN(dryad_cap,TblMili[[#This Row],[Hill]]/dryad_bonus)</f>
        <v>3.7179487179487181</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3</v>
      </c>
      <c r="CD52" s="59">
        <f ca="1">MIN(ice_elem_cap,TblMili[[#This Row],[Raw (2)]]*ice_elem_bonus)</f>
        <v>4.2735042735042736E-2</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3.9435897435897447</v>
      </c>
      <c r="CK52" s="323">
        <f ca="1">1.8 * MIN(MAX(TblMili[[#This Row],[Druid (op)]]+Races!$E$20,TblMili[[#This Row],[Druid (dp)]]+Races!$F$20),6)  +  0.45 * MIN(MIN(TblMili[[#This Row],[Druid (op)]]+Races!$E$20,TblMili[[#This Row],[Druid (dp)]]+Races!$F$20),6)  +  0.2 * ( MAX(TblMili[[#This Row],[Druid (op)]]+Races!$E$20-6,0) + MAX(TblMili[[#This Row],[Druid (dp)]]+Races!$F$20-6,0) )  -  Races!$I$20</f>
        <v>7.2166666666666659</v>
      </c>
      <c r="CL52" s="113">
        <f ca="1">TblMili[[#This Row],[Mystic bonus]]*TblMili[[#This Row],[Unit 3]]+TblMili[[#This Row],[Druid bonus]]*TblMili[[#This Row],[Unit 4]]</f>
        <v>0</v>
      </c>
      <c r="CM52" s="201">
        <f ca="1">MIN(6,TblMili[[#This Row],[Dryad]]+Races!$F$35)*1.8 +  IF(TblMili[[#This Row],[Dryad]]+Races!$F$35&gt;6,(TblMili[[#This Row],[Dryad]]+Races!$F$35-6)*0.2,0) - Races!$I$19</f>
        <v>3.7435897435897436</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5.4</v>
      </c>
      <c r="CT52" s="201">
        <f ca="1">1.8 * MIN(MAX(TblMili[[#This Row],[Ice Elemental]]+Races!$E$71,Races!$F$71),6)  +  0.45 * MIN(MIN(TblMili[[#This Row],[Ice Elemental]]+Races!$E$71,Races!$F$71),6)  +  0.2 * ( MAX(TblMili[[#This Row],[Ice Elemental]]+Races!$E$71-6,0) + MAX(Races!$F$71-6,0) )  -  Races!$I$71</f>
        <v>7.692307692307665E-2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14120</v>
      </c>
      <c r="CZ52" s="184"/>
      <c r="DA52" s="326">
        <f ca="1">(TblMili[[#This Row],[Wizards]]+2*TblMili[[#This Row],[Archmages]])/TblConstr[[#This Row],[Land]]</f>
        <v>4.2735042735042736E-2</v>
      </c>
      <c r="DB52" s="326">
        <f ca="1">TblMili[[#This Row],[Raw (2)]]*(1+race_wizard_strength+IF(TblMili[[#This Row],[Hour]]&gt;72,tech_magical_weaponry_wiz*TblTech[[#This Row],[3-5]],0))</f>
        <v>4.2735042735042736E-2</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745</v>
      </c>
      <c r="C53" s="203">
        <f ca="1">TblPop[[#This Row],[Military%]]</f>
        <v>8.6860207531771011E-2</v>
      </c>
      <c r="D53" s="184"/>
      <c r="E53" s="49">
        <f ca="1">OFFSET(TblMili[[#This Row],[Unit 1]],-1,0) + OFFSET(TblMili[[#This Row],[Train Unit 1]],-9,0) - TblMili[[#This Row],[Release Unit 1]]</f>
        <v>0</v>
      </c>
      <c r="F53" s="49">
        <f ca="1">OFFSET(TblMili[[#This Row],[Unit 2]],-1,0) + OFFSET(TblMili[[#This Row],[Train Unit 2]],-9,0)-TblMili[[#This Row],[Release Unit 2]]</f>
        <v>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14280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3" s="319">
        <f ca="1">TblMili[[#This Row],[Non Draft]]+TblMili[[#This Row],[Draftees]]</f>
        <v>695</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0</v>
      </c>
      <c r="V53" s="319">
        <f ca="1">TblMili[[#This Row],[Draft]] * (1 + TblMili[[#This Row],[Mods_Def]])</f>
        <v>695</v>
      </c>
      <c r="W53" s="319">
        <f ca="1">TblConstr[[#This Row],[Land]]</f>
        <v>593</v>
      </c>
      <c r="X53" s="322"/>
      <c r="Y53" s="327">
        <f ca="1">IF(TblMili[[#This Row],[Set]]&lt;&gt;"",TblMili[[#This Row],[Set]],OFFSET(TblMili[[#This Row],[Draftrate]],-1,0))</f>
        <v>0.9</v>
      </c>
      <c r="Z53" s="113">
        <f ca="1">OFFSET(TblMili[[#This Row],[Draftees]],-1,0)+OFFSET(TblPop[[#This Row],[Draft Growth]],-1,0) - SUM(TblMili[[#This Row],[Train Unit 1]:[Train Wiz]]) - TblMili[[#This Row],[Release Draft]] + SUM(TblMili[[#This Row],[Release Unit 1]:[Release Arch]]) -TblExplore[[#This Row],[Draftees (2)]]</f>
        <v>695</v>
      </c>
      <c r="AA53" s="200"/>
      <c r="AB53" s="234">
        <f ca="1">(TblConstr[[#This Row],[Tot Smi]]+TblConstr[[#This Row],[Dest Smi]])/(TblConstr[[#This Row],[Land]]-TblExplore[[#This Row],[Land Bonus]]*20)</f>
        <v>0</v>
      </c>
      <c r="AC53" s="178"/>
      <c r="AD53" s="318">
        <f>TblMili[[#This Row],[Hour]]</f>
        <v>50</v>
      </c>
      <c r="AE53" s="179">
        <f ca="1">TblExplore[[#This Row],[Time]]</f>
        <v>44406.791666666548</v>
      </c>
      <c r="AF53" s="204"/>
      <c r="AG53" s="232"/>
      <c r="AH53" s="204"/>
      <c r="AI53" s="232"/>
      <c r="AJ53" s="232"/>
      <c r="AK53" s="232"/>
      <c r="AL53" s="232"/>
      <c r="AM53" s="184"/>
      <c r="AN53" s="113">
        <f ca="1">TblProd[[#This Row],[Platinum]]</f>
        <v>218669</v>
      </c>
      <c r="AO53" s="113">
        <f ca="1">INDEX(TblProd[[#Headers],[Lumber]]:TblProd[[#This Row],[Ore]],COUNTA(TblProd[[#Headers],[Lumber]]:TblProd[[#This Row],[Lumber]]),MATCH(Military!$AO$2,TblProd[[#Headers],[Lumber]:[Ore]],0))</f>
        <v>33000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44406.791666666548</v>
      </c>
      <c r="AT53" s="113">
        <f ca="1">TblMili[[#This Row],[Draftees]]</f>
        <v>695</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0.74704890387858347</v>
      </c>
      <c r="BS53" s="208">
        <f ca="1">TblMili[[#This Row],[WG''s]]</f>
        <v>0</v>
      </c>
      <c r="BT53" s="323">
        <f ca="1">IF(mystic_cap="none",TblMili[[#This Row],[Hill]]/mystic_bonus,MIN(mystic_cap,TblMili[[#This Row],[Hill]]/mystic_bonus))</f>
        <v>3.7352445193929174</v>
      </c>
      <c r="BU53" s="323">
        <f ca="1">IF(druid_op_cap="none",TblMili[[#This Row],[Hill]]/druid_op_bonus,MIN(druid_op_cap,TblMili[[#This Row],[Hill]]/druid_op_bonus))</f>
        <v>3.7352445193929174</v>
      </c>
      <c r="BV53" s="323">
        <f ca="1">IF(druid_dp_cap="none",TblMili[[#This Row],[Hill]]/druid_dp_bonus,MIN(druid_dp_cap,TblMili[[#This Row],[Hill]]/druid_dp_bonus))</f>
        <v>3.7352445193929174</v>
      </c>
      <c r="BW53" s="323">
        <f ca="1">MIN(dryad_cap,TblMili[[#This Row],[Hill]]/dryad_bonus)</f>
        <v>3.7352445193929174</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3</v>
      </c>
      <c r="CD53" s="59">
        <f ca="1">MIN(ice_elem_cap,TblMili[[#This Row],[Raw (2)]]*ice_elem_bonus)</f>
        <v>4.2158516020236091E-2</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3.9470489038785841</v>
      </c>
      <c r="CK53" s="323">
        <f ca="1">1.8 * MIN(MAX(TblMili[[#This Row],[Druid (op)]]+Races!$E$20,TblMili[[#This Row],[Druid (dp)]]+Races!$F$20),6)  +  0.45 * MIN(MIN(TblMili[[#This Row],[Druid (op)]]+Races!$E$20,TblMili[[#This Row],[Druid (dp)]]+Races!$F$20),6)  +  0.2 * ( MAX(TblMili[[#This Row],[Druid (op)]]+Races!$E$20-6,0) + MAX(TblMili[[#This Row],[Druid (dp)]]+Races!$F$20-6,0) )  -  Races!$I$20</f>
        <v>7.227908937605398</v>
      </c>
      <c r="CL53" s="113">
        <f ca="1">TblMili[[#This Row],[Mystic bonus]]*TblMili[[#This Row],[Unit 3]]+TblMili[[#This Row],[Druid bonus]]*TblMili[[#This Row],[Unit 4]]</f>
        <v>0</v>
      </c>
      <c r="CM53" s="201">
        <f ca="1">MIN(6,TblMili[[#This Row],[Dryad]]+Races!$F$35)*1.8 +  IF(TblMili[[#This Row],[Dryad]]+Races!$F$35&gt;6,(TblMili[[#This Row],[Dryad]]+Races!$F$35-6)*0.2,0) - Races!$I$19</f>
        <v>3.7470489038785848</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5.4</v>
      </c>
      <c r="CT53" s="201">
        <f ca="1">1.8 * MIN(MAX(TblMili[[#This Row],[Ice Elemental]]+Races!$E$71,Races!$F$71),6)  +  0.45 * MIN(MIN(TblMili[[#This Row],[Ice Elemental]]+Races!$E$71,Races!$F$71),6)  +  0.2 * ( MAX(TblMili[[#This Row],[Ice Elemental]]+Races!$E$71-6,0) + MAX(Races!$F$71-6,0) )  -  Races!$I$71</f>
        <v>7.5885328836424293E-2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14280</v>
      </c>
      <c r="CZ53" s="184"/>
      <c r="DA53" s="326">
        <f ca="1">(TblMili[[#This Row],[Wizards]]+2*TblMili[[#This Row],[Archmages]])/TblConstr[[#This Row],[Land]]</f>
        <v>4.2158516020236091E-2</v>
      </c>
      <c r="DB53" s="326">
        <f ca="1">TblMili[[#This Row],[Raw (2)]]*(1+race_wizard_strength+IF(TblMili[[#This Row],[Hour]]&gt;72,tech_magical_weaponry_wiz*TblTech[[#This Row],[3-5]],0))</f>
        <v>4.2158516020236091E-2</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823</v>
      </c>
      <c r="C54" s="203">
        <f ca="1">TblPop[[#This Row],[Military%]]</f>
        <v>9.1729826125724473E-2</v>
      </c>
      <c r="D54" s="184"/>
      <c r="E54" s="49">
        <f ca="1">OFFSET(TblMili[[#This Row],[Unit 1]],-1,0) + OFFSET(TblMili[[#This Row],[Train Unit 1]],-9,0) - TblMili[[#This Row],[Release Unit 1]]</f>
        <v>0</v>
      </c>
      <c r="F54" s="49">
        <f ca="1">OFFSET(TblMili[[#This Row],[Unit 2]],-1,0) + OFFSET(TblMili[[#This Row],[Train Unit 2]],-9,0)-TblMili[[#This Row],[Release Unit 2]]</f>
        <v>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14420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4" s="319">
        <f ca="1">TblMili[[#This Row],[Non Draft]]+TblMili[[#This Row],[Draftees]]</f>
        <v>773</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0</v>
      </c>
      <c r="V54" s="319">
        <f ca="1">TblMili[[#This Row],[Draft]] * (1 + TblMili[[#This Row],[Mods_Def]])</f>
        <v>773</v>
      </c>
      <c r="W54" s="319">
        <f ca="1">TblConstr[[#This Row],[Land]]</f>
        <v>600</v>
      </c>
      <c r="X54" s="322"/>
      <c r="Y54" s="327">
        <f ca="1">IF(TblMili[[#This Row],[Set]]&lt;&gt;"",TblMili[[#This Row],[Set]],OFFSET(TblMili[[#This Row],[Draftrate]],-1,0))</f>
        <v>0.9</v>
      </c>
      <c r="Z54" s="113">
        <f ca="1">OFFSET(TblMili[[#This Row],[Draftees]],-1,0)+OFFSET(TblPop[[#This Row],[Draft Growth]],-1,0) - SUM(TblMili[[#This Row],[Train Unit 1]:[Train Wiz]]) - TblMili[[#This Row],[Release Draft]] + SUM(TblMili[[#This Row],[Release Unit 1]:[Release Arch]]) -TblExplore[[#This Row],[Draftees (2)]]</f>
        <v>773</v>
      </c>
      <c r="AA54" s="200"/>
      <c r="AB54" s="234">
        <f ca="1">(TblConstr[[#This Row],[Tot Smi]]+TblConstr[[#This Row],[Dest Smi]])/(TblConstr[[#This Row],[Land]]-TblExplore[[#This Row],[Land Bonus]]*20)</f>
        <v>0</v>
      </c>
      <c r="AC54" s="178"/>
      <c r="AD54" s="318">
        <f>TblMili[[#This Row],[Hour]]</f>
        <v>51</v>
      </c>
      <c r="AE54" s="179">
        <f ca="1">TblExplore[[#This Row],[Time]]</f>
        <v>44406.833333333212</v>
      </c>
      <c r="AF54" s="232"/>
      <c r="AG54" s="232"/>
      <c r="AH54" s="232"/>
      <c r="AI54" s="232"/>
      <c r="AJ54" s="232"/>
      <c r="AK54" s="232"/>
      <c r="AL54" s="232"/>
      <c r="AM54" s="184"/>
      <c r="AN54" s="113">
        <f ca="1">TblProd[[#This Row],[Platinum]]</f>
        <v>248345</v>
      </c>
      <c r="AO54" s="113">
        <f ca="1">INDEX(TblProd[[#Headers],[Lumber]]:TblProd[[#This Row],[Ore]],COUNTA(TblProd[[#Headers],[Lumber]]:TblProd[[#This Row],[Lumber]]),MATCH(Military!$AO$2,TblProd[[#Headers],[Lumber]:[Ore]],0))</f>
        <v>34800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44406.833333333212</v>
      </c>
      <c r="AT54" s="113">
        <f ca="1">TblMili[[#This Row],[Draftees]]</f>
        <v>773</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0.75</v>
      </c>
      <c r="BS54" s="208">
        <f ca="1">TblMili[[#This Row],[WG''s]]</f>
        <v>0</v>
      </c>
      <c r="BT54" s="323">
        <f ca="1">IF(mystic_cap="none",TblMili[[#This Row],[Hill]]/mystic_bonus,MIN(mystic_cap,TblMili[[#This Row],[Hill]]/mystic_bonus))</f>
        <v>3.75</v>
      </c>
      <c r="BU54" s="323">
        <f ca="1">IF(druid_op_cap="none",TblMili[[#This Row],[Hill]]/druid_op_bonus,MIN(druid_op_cap,TblMili[[#This Row],[Hill]]/druid_op_bonus))</f>
        <v>3.75</v>
      </c>
      <c r="BV54" s="323">
        <f ca="1">IF(druid_dp_cap="none",TblMili[[#This Row],[Hill]]/druid_dp_bonus,MIN(druid_dp_cap,TblMili[[#This Row],[Hill]]/druid_dp_bonus))</f>
        <v>3.75</v>
      </c>
      <c r="BW54" s="323">
        <f ca="1">MIN(dryad_cap,TblMili[[#This Row],[Hill]]/dryad_bonus)</f>
        <v>3.75</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3</v>
      </c>
      <c r="CD54" s="59">
        <f ca="1">MIN(ice_elem_cap,TblMili[[#This Row],[Raw (2)]]*ice_elem_bonus)</f>
        <v>4.1666666666666664E-2</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3.95</v>
      </c>
      <c r="CK5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4" s="113">
        <f ca="1">TblMili[[#This Row],[Mystic bonus]]*TblMili[[#This Row],[Unit 3]]+TblMili[[#This Row],[Druid bonus]]*TblMili[[#This Row],[Unit 4]]</f>
        <v>0</v>
      </c>
      <c r="CM54" s="201">
        <f ca="1">MIN(6,TblMili[[#This Row],[Dryad]]+Races!$F$35)*1.8 +  IF(TblMili[[#This Row],[Dryad]]+Races!$F$35&gt;6,(TblMili[[#This Row],[Dryad]]+Races!$F$35-6)*0.2,0) - Races!$I$19</f>
        <v>3.7500000000000009</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5.4</v>
      </c>
      <c r="CT54" s="201">
        <f ca="1">1.8 * MIN(MAX(TblMili[[#This Row],[Ice Elemental]]+Races!$E$71,Races!$F$71),6)  +  0.45 * MIN(MIN(TblMili[[#This Row],[Ice Elemental]]+Races!$E$71,Races!$F$71),6)  +  0.2 * ( MAX(TblMili[[#This Row],[Ice Elemental]]+Races!$E$71-6,0) + MAX(Races!$F$71-6,0) )  -  Races!$I$71</f>
        <v>7.4999999999999289E-2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14420</v>
      </c>
      <c r="CZ54" s="184"/>
      <c r="DA54" s="326">
        <f ca="1">(TblMili[[#This Row],[Wizards]]+2*TblMili[[#This Row],[Archmages]])/TblConstr[[#This Row],[Land]]</f>
        <v>4.1666666666666664E-2</v>
      </c>
      <c r="DB54" s="326">
        <f ca="1">TblMili[[#This Row],[Raw (2)]]*(1+race_wizard_strength+IF(TblMili[[#This Row],[Hour]]&gt;72,tech_magical_weaponry_wiz*TblTech[[#This Row],[3-5]],0))</f>
        <v>4.1666666666666664E-2</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904</v>
      </c>
      <c r="C55" s="203">
        <f ca="1">TblPop[[#This Row],[Military%]]</f>
        <v>9.6385542168674704E-2</v>
      </c>
      <c r="D55" s="184"/>
      <c r="E55" s="49">
        <f ca="1">OFFSET(TblMili[[#This Row],[Unit 1]],-1,0) + OFFSET(TblMili[[#This Row],[Train Unit 1]],-9,0) - TblMili[[#This Row],[Release Unit 1]]</f>
        <v>0</v>
      </c>
      <c r="F55" s="49">
        <f ca="1">OFFSET(TblMili[[#This Row],[Unit 2]],-1,0) + OFFSET(TblMili[[#This Row],[Train Unit 2]],-9,0)-TblMili[[#This Row],[Release Unit 2]]</f>
        <v>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14520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5" s="319">
        <f ca="1">TblMili[[#This Row],[Non Draft]]+TblMili[[#This Row],[Draftees]]</f>
        <v>854</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0</v>
      </c>
      <c r="V55" s="319">
        <f ca="1">TblMili[[#This Row],[Draft]] * (1 + TblMili[[#This Row],[Mods_Def]])</f>
        <v>854</v>
      </c>
      <c r="W55" s="319">
        <f ca="1">TblConstr[[#This Row],[Land]]</f>
        <v>600</v>
      </c>
      <c r="X55" s="322"/>
      <c r="Y55" s="327">
        <f ca="1">IF(TblMili[[#This Row],[Set]]&lt;&gt;"",TblMili[[#This Row],[Set]],OFFSET(TblMili[[#This Row],[Draftrate]],-1,0))</f>
        <v>0.9</v>
      </c>
      <c r="Z55" s="113">
        <f ca="1">OFFSET(TblMili[[#This Row],[Draftees]],-1,0)+OFFSET(TblPop[[#This Row],[Draft Growth]],-1,0) - SUM(TblMili[[#This Row],[Train Unit 1]:[Train Wiz]]) - TblMili[[#This Row],[Release Draft]] + SUM(TblMili[[#This Row],[Release Unit 1]:[Release Arch]]) -TblExplore[[#This Row],[Draftees (2)]]</f>
        <v>854</v>
      </c>
      <c r="AA55" s="200"/>
      <c r="AB55" s="234">
        <f ca="1">(TblConstr[[#This Row],[Tot Smi]]+TblConstr[[#This Row],[Dest Smi]])/(TblConstr[[#This Row],[Land]]-TblExplore[[#This Row],[Land Bonus]]*20)</f>
        <v>0</v>
      </c>
      <c r="AC55" s="178"/>
      <c r="AD55" s="318">
        <f>TblMili[[#This Row],[Hour]]</f>
        <v>52</v>
      </c>
      <c r="AE55" s="179">
        <f ca="1">TblExplore[[#This Row],[Time]]</f>
        <v>44406.874999999876</v>
      </c>
      <c r="AF55" s="232"/>
      <c r="AG55" s="232"/>
      <c r="AH55" s="232"/>
      <c r="AI55" s="232"/>
      <c r="AJ55" s="232"/>
      <c r="AK55" s="232"/>
      <c r="AL55" s="232"/>
      <c r="AM55" s="184"/>
      <c r="AN55" s="113">
        <f ca="1">TblProd[[#This Row],[Platinum]]</f>
        <v>285615</v>
      </c>
      <c r="AO55" s="113">
        <f ca="1">INDEX(TblProd[[#Headers],[Lumber]]:TblProd[[#This Row],[Ore]],COUNTA(TblProd[[#Headers],[Lumber]]:TblProd[[#This Row],[Lumber]]),MATCH(Military!$AO$2,TblProd[[#Headers],[Lumber]:[Ore]],0))</f>
        <v>36600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44406.874999999876</v>
      </c>
      <c r="AT55" s="113">
        <f ca="1">TblMili[[#This Row],[Draftees]]</f>
        <v>854</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0.75</v>
      </c>
      <c r="BS55" s="208">
        <f ca="1">TblMili[[#This Row],[WG''s]]</f>
        <v>0</v>
      </c>
      <c r="BT55" s="323">
        <f ca="1">IF(mystic_cap="none",TblMili[[#This Row],[Hill]]/mystic_bonus,MIN(mystic_cap,TblMili[[#This Row],[Hill]]/mystic_bonus))</f>
        <v>3.75</v>
      </c>
      <c r="BU55" s="323">
        <f ca="1">IF(druid_op_cap="none",TblMili[[#This Row],[Hill]]/druid_op_bonus,MIN(druid_op_cap,TblMili[[#This Row],[Hill]]/druid_op_bonus))</f>
        <v>3.75</v>
      </c>
      <c r="BV55" s="323">
        <f ca="1">IF(druid_dp_cap="none",TblMili[[#This Row],[Hill]]/druid_dp_bonus,MIN(druid_dp_cap,TblMili[[#This Row],[Hill]]/druid_dp_bonus))</f>
        <v>3.75</v>
      </c>
      <c r="BW55" s="323">
        <f ca="1">MIN(dryad_cap,TblMili[[#This Row],[Hill]]/dryad_bonus)</f>
        <v>3.75</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3</v>
      </c>
      <c r="CD55" s="59">
        <f ca="1">MIN(ice_elem_cap,TblMili[[#This Row],[Raw (2)]]*ice_elem_bonus)</f>
        <v>4.1666666666666664E-2</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3.95</v>
      </c>
      <c r="CK5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5" s="113">
        <f ca="1">TblMili[[#This Row],[Mystic bonus]]*TblMili[[#This Row],[Unit 3]]+TblMili[[#This Row],[Druid bonus]]*TblMili[[#This Row],[Unit 4]]</f>
        <v>0</v>
      </c>
      <c r="CM55" s="201">
        <f ca="1">MIN(6,TblMili[[#This Row],[Dryad]]+Races!$F$35)*1.8 +  IF(TblMili[[#This Row],[Dryad]]+Races!$F$35&gt;6,(TblMili[[#This Row],[Dryad]]+Races!$F$35-6)*0.2,0) - Races!$I$19</f>
        <v>3.7500000000000009</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5.4</v>
      </c>
      <c r="CT55" s="201">
        <f ca="1">1.8 * MIN(MAX(TblMili[[#This Row],[Ice Elemental]]+Races!$E$71,Races!$F$71),6)  +  0.45 * MIN(MIN(TblMili[[#This Row],[Ice Elemental]]+Races!$E$71,Races!$F$71),6)  +  0.2 * ( MAX(TblMili[[#This Row],[Ice Elemental]]+Races!$E$71-6,0) + MAX(Races!$F$71-6,0) )  -  Races!$I$71</f>
        <v>7.4999999999999289E-2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5" s="184"/>
      <c r="DA55" s="326">
        <f ca="1">(TblMili[[#This Row],[Wizards]]+2*TblMili[[#This Row],[Archmages]])/TblConstr[[#This Row],[Land]]</f>
        <v>4.1666666666666664E-2</v>
      </c>
      <c r="DB55" s="326">
        <f ca="1">TblMili[[#This Row],[Raw (2)]]*(1+race_wizard_strength+IF(TblMili[[#This Row],[Hour]]&gt;72,tech_magical_weaponry_wiz*TblTech[[#This Row],[3-5]],0))</f>
        <v>4.1666666666666664E-2</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989</v>
      </c>
      <c r="C56" s="203">
        <f ca="1">TblPop[[#This Row],[Military%]]</f>
        <v>0.1054483420407293</v>
      </c>
      <c r="D56" s="184"/>
      <c r="E56" s="49">
        <f ca="1">OFFSET(TblMili[[#This Row],[Unit 1]],-1,0) + OFFSET(TblMili[[#This Row],[Train Unit 1]],-9,0) - TblMili[[#This Row],[Release Unit 1]]</f>
        <v>0</v>
      </c>
      <c r="F56" s="49">
        <f ca="1">OFFSET(TblMili[[#This Row],[Unit 2]],-1,0) + OFFSET(TblMili[[#This Row],[Train Unit 2]],-9,0)-TblMili[[#This Row],[Release Unit 2]]</f>
        <v>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14520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6" s="319">
        <f ca="1">TblMili[[#This Row],[Non Draft]]+TblMili[[#This Row],[Draftees]]</f>
        <v>939</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0</v>
      </c>
      <c r="V56" s="319">
        <f ca="1">TblMili[[#This Row],[Draft]] * (1 + TblMili[[#This Row],[Mods_Def]])</f>
        <v>939</v>
      </c>
      <c r="W56" s="319">
        <f ca="1">TblConstr[[#This Row],[Land]]</f>
        <v>600</v>
      </c>
      <c r="X56" s="322"/>
      <c r="Y56" s="327">
        <f ca="1">IF(TblMili[[#This Row],[Set]]&lt;&gt;"",TblMili[[#This Row],[Set]],OFFSET(TblMili[[#This Row],[Draftrate]],-1,0))</f>
        <v>0.9</v>
      </c>
      <c r="Z56" s="113">
        <f ca="1">OFFSET(TblMili[[#This Row],[Draftees]],-1,0)+OFFSET(TblPop[[#This Row],[Draft Growth]],-1,0) - SUM(TblMili[[#This Row],[Train Unit 1]:[Train Wiz]]) - TblMili[[#This Row],[Release Draft]] + SUM(TblMili[[#This Row],[Release Unit 1]:[Release Arch]]) -TblExplore[[#This Row],[Draftees (2)]]</f>
        <v>939</v>
      </c>
      <c r="AA56" s="200"/>
      <c r="AB56" s="234">
        <f ca="1">(TblConstr[[#This Row],[Tot Smi]]+TblConstr[[#This Row],[Dest Smi]])/(TblConstr[[#This Row],[Land]]-TblExplore[[#This Row],[Land Bonus]]*20)</f>
        <v>0</v>
      </c>
      <c r="AC56" s="178"/>
      <c r="AD56" s="318">
        <f>TblMili[[#This Row],[Hour]]</f>
        <v>53</v>
      </c>
      <c r="AE56" s="179">
        <f ca="1">TblExplore[[#This Row],[Time]]</f>
        <v>44406.916666666541</v>
      </c>
      <c r="AF56" s="232"/>
      <c r="AG56" s="232"/>
      <c r="AH56" s="232"/>
      <c r="AI56" s="232"/>
      <c r="AJ56" s="232"/>
      <c r="AK56" s="232"/>
      <c r="AL56" s="232"/>
      <c r="AM56" s="184"/>
      <c r="AN56" s="113">
        <f ca="1">TblProd[[#This Row],[Platinum]]</f>
        <v>323853</v>
      </c>
      <c r="AO56" s="113">
        <f ca="1">INDEX(TblProd[[#Headers],[Lumber]]:TblProd[[#This Row],[Ore]],COUNTA(TblProd[[#Headers],[Lumber]]:TblProd[[#This Row],[Lumber]]),MATCH(Military!$AO$2,TblProd[[#Headers],[Lumber]:[Ore]],0))</f>
        <v>38400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44406.916666666541</v>
      </c>
      <c r="AT56" s="113">
        <f ca="1">TblMili[[#This Row],[Draftees]]</f>
        <v>939</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0.75</v>
      </c>
      <c r="BS56" s="208">
        <f ca="1">TblMili[[#This Row],[WG''s]]</f>
        <v>0</v>
      </c>
      <c r="BT56" s="323">
        <f ca="1">IF(mystic_cap="none",TblMili[[#This Row],[Hill]]/mystic_bonus,MIN(mystic_cap,TblMili[[#This Row],[Hill]]/mystic_bonus))</f>
        <v>3.75</v>
      </c>
      <c r="BU56" s="323">
        <f ca="1">IF(druid_op_cap="none",TblMili[[#This Row],[Hill]]/druid_op_bonus,MIN(druid_op_cap,TblMili[[#This Row],[Hill]]/druid_op_bonus))</f>
        <v>3.75</v>
      </c>
      <c r="BV56" s="323">
        <f ca="1">IF(druid_dp_cap="none",TblMili[[#This Row],[Hill]]/druid_dp_bonus,MIN(druid_dp_cap,TblMili[[#This Row],[Hill]]/druid_dp_bonus))</f>
        <v>3.75</v>
      </c>
      <c r="BW56" s="323">
        <f ca="1">MIN(dryad_cap,TblMili[[#This Row],[Hill]]/dryad_bonus)</f>
        <v>3.75</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3</v>
      </c>
      <c r="CD56" s="59">
        <f ca="1">MIN(ice_elem_cap,TblMili[[#This Row],[Raw (2)]]*ice_elem_bonus)</f>
        <v>4.1666666666666664E-2</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3.95</v>
      </c>
      <c r="CK5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6" s="113">
        <f ca="1">TblMili[[#This Row],[Mystic bonus]]*TblMili[[#This Row],[Unit 3]]+TblMili[[#This Row],[Druid bonus]]*TblMili[[#This Row],[Unit 4]]</f>
        <v>0</v>
      </c>
      <c r="CM56" s="201">
        <f ca="1">MIN(6,TblMili[[#This Row],[Dryad]]+Races!$F$35)*1.8 +  IF(TblMili[[#This Row],[Dryad]]+Races!$F$35&gt;6,(TblMili[[#This Row],[Dryad]]+Races!$F$35-6)*0.2,0) - Races!$I$19</f>
        <v>3.7500000000000009</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5.4</v>
      </c>
      <c r="CT56" s="201">
        <f ca="1">1.8 * MIN(MAX(TblMili[[#This Row],[Ice Elemental]]+Races!$E$71,Races!$F$71),6)  +  0.45 * MIN(MIN(TblMili[[#This Row],[Ice Elemental]]+Races!$E$71,Races!$F$71),6)  +  0.2 * ( MAX(TblMili[[#This Row],[Ice Elemental]]+Races!$E$71-6,0) + MAX(Races!$F$71-6,0) )  -  Races!$I$71</f>
        <v>7.4999999999999289E-2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6" s="184"/>
      <c r="DA56" s="326">
        <f ca="1">(TblMili[[#This Row],[Wizards]]+2*TblMili[[#This Row],[Archmages]])/TblConstr[[#This Row],[Land]]</f>
        <v>4.1666666666666664E-2</v>
      </c>
      <c r="DB56" s="326">
        <f ca="1">TblMili[[#This Row],[Raw (2)]]*(1+race_wizard_strength+IF(TblMili[[#This Row],[Hour]]&gt;72,tech_magical_weaponry_wiz*TblTech[[#This Row],[3-5]],0))</f>
        <v>4.1666666666666664E-2</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1073</v>
      </c>
      <c r="C57" s="203">
        <f ca="1">TblPop[[#This Row],[Military%]]</f>
        <v>0.11440452073781852</v>
      </c>
      <c r="D57" s="184"/>
      <c r="E57" s="49">
        <f ca="1">OFFSET(TblMili[[#This Row],[Unit 1]],-1,0) + OFFSET(TblMili[[#This Row],[Train Unit 1]],-9,0) - TblMili[[#This Row],[Release Unit 1]]</f>
        <v>0</v>
      </c>
      <c r="F57" s="49">
        <f ca="1">OFFSET(TblMili[[#This Row],[Unit 2]],-1,0) + OFFSET(TblMili[[#This Row],[Train Unit 2]],-9,0)-TblMili[[#This Row],[Release Unit 2]]</f>
        <v>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14520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7" s="319">
        <f ca="1">TblMili[[#This Row],[Non Draft]]+TblMili[[#This Row],[Draftees]]</f>
        <v>1023</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0</v>
      </c>
      <c r="V57" s="319">
        <f ca="1">TblMili[[#This Row],[Draft]] * (1 + TblMili[[#This Row],[Mods_Def]])</f>
        <v>1023</v>
      </c>
      <c r="W57" s="319">
        <f ca="1">TblConstr[[#This Row],[Land]]</f>
        <v>600</v>
      </c>
      <c r="X57" s="322"/>
      <c r="Y57" s="327">
        <f ca="1">IF(TblMili[[#This Row],[Set]]&lt;&gt;"",TblMili[[#This Row],[Set]],OFFSET(TblMili[[#This Row],[Draftrate]],-1,0))</f>
        <v>0.9</v>
      </c>
      <c r="Z57" s="113">
        <f ca="1">OFFSET(TblMili[[#This Row],[Draftees]],-1,0)+OFFSET(TblPop[[#This Row],[Draft Growth]],-1,0) - SUM(TblMili[[#This Row],[Train Unit 1]:[Train Wiz]]) - TblMili[[#This Row],[Release Draft]] + SUM(TblMili[[#This Row],[Release Unit 1]:[Release Arch]]) -TblExplore[[#This Row],[Draftees (2)]]</f>
        <v>1023</v>
      </c>
      <c r="AA57" s="200"/>
      <c r="AB57" s="234">
        <f ca="1">(TblConstr[[#This Row],[Tot Smi]]+TblConstr[[#This Row],[Dest Smi]])/(TblConstr[[#This Row],[Land]]-TblExplore[[#This Row],[Land Bonus]]*20)</f>
        <v>0</v>
      </c>
      <c r="AC57" s="178"/>
      <c r="AD57" s="318">
        <f>TblMili[[#This Row],[Hour]]</f>
        <v>54</v>
      </c>
      <c r="AE57" s="179">
        <f ca="1">TblExplore[[#This Row],[Time]]</f>
        <v>44406.958333333205</v>
      </c>
      <c r="AF57" s="232"/>
      <c r="AG57" s="232"/>
      <c r="AH57" s="232"/>
      <c r="AI57" s="232"/>
      <c r="AJ57" s="232"/>
      <c r="AK57" s="232"/>
      <c r="AL57" s="232"/>
      <c r="AM57" s="184"/>
      <c r="AN57" s="113">
        <f ca="1">TblProd[[#This Row],[Platinum]]</f>
        <v>361839</v>
      </c>
      <c r="AO57" s="113">
        <f ca="1">INDEX(TblProd[[#Headers],[Lumber]]:TblProd[[#This Row],[Ore]],COUNTA(TblProd[[#Headers],[Lumber]]:TblProd[[#This Row],[Lumber]]),MATCH(Military!$AO$2,TblProd[[#Headers],[Lumber]:[Ore]],0))</f>
        <v>40200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44406.958333333205</v>
      </c>
      <c r="AT57" s="113">
        <f ca="1">TblMili[[#This Row],[Draftees]]</f>
        <v>1023</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0.75</v>
      </c>
      <c r="BS57" s="208">
        <f ca="1">TblMili[[#This Row],[WG''s]]</f>
        <v>0</v>
      </c>
      <c r="BT57" s="323">
        <f ca="1">IF(mystic_cap="none",TblMili[[#This Row],[Hill]]/mystic_bonus,MIN(mystic_cap,TblMili[[#This Row],[Hill]]/mystic_bonus))</f>
        <v>3.75</v>
      </c>
      <c r="BU57" s="323">
        <f ca="1">IF(druid_op_cap="none",TblMili[[#This Row],[Hill]]/druid_op_bonus,MIN(druid_op_cap,TblMili[[#This Row],[Hill]]/druid_op_bonus))</f>
        <v>3.75</v>
      </c>
      <c r="BV57" s="323">
        <f ca="1">IF(druid_dp_cap="none",TblMili[[#This Row],[Hill]]/druid_dp_bonus,MIN(druid_dp_cap,TblMili[[#This Row],[Hill]]/druid_dp_bonus))</f>
        <v>3.75</v>
      </c>
      <c r="BW57" s="323">
        <f ca="1">MIN(dryad_cap,TblMili[[#This Row],[Hill]]/dryad_bonus)</f>
        <v>3.75</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3</v>
      </c>
      <c r="CD57" s="59">
        <f ca="1">MIN(ice_elem_cap,TblMili[[#This Row],[Raw (2)]]*ice_elem_bonus)</f>
        <v>4.1666666666666664E-2</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3.95</v>
      </c>
      <c r="CK5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7" s="113">
        <f ca="1">TblMili[[#This Row],[Mystic bonus]]*TblMili[[#This Row],[Unit 3]]+TblMili[[#This Row],[Druid bonus]]*TblMili[[#This Row],[Unit 4]]</f>
        <v>0</v>
      </c>
      <c r="CM57" s="201">
        <f ca="1">MIN(6,TblMili[[#This Row],[Dryad]]+Races!$F$35)*1.8 +  IF(TblMili[[#This Row],[Dryad]]+Races!$F$35&gt;6,(TblMili[[#This Row],[Dryad]]+Races!$F$35-6)*0.2,0) - Races!$I$19</f>
        <v>3.7500000000000009</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5.4</v>
      </c>
      <c r="CT57" s="201">
        <f ca="1">1.8 * MIN(MAX(TblMili[[#This Row],[Ice Elemental]]+Races!$E$71,Races!$F$71),6)  +  0.45 * MIN(MIN(TblMili[[#This Row],[Ice Elemental]]+Races!$E$71,Races!$F$71),6)  +  0.2 * ( MAX(TblMili[[#This Row],[Ice Elemental]]+Races!$E$71-6,0) + MAX(Races!$F$71-6,0) )  -  Races!$I$71</f>
        <v>7.4999999999999289E-2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7" s="184"/>
      <c r="DA57" s="326">
        <f ca="1">(TblMili[[#This Row],[Wizards]]+2*TblMili[[#This Row],[Archmages]])/TblConstr[[#This Row],[Land]]</f>
        <v>4.1666666666666664E-2</v>
      </c>
      <c r="DB57" s="326">
        <f ca="1">TblMili[[#This Row],[Raw (2)]]*(1+race_wizard_strength+IF(TblMili[[#This Row],[Hour]]&gt;72,tech_magical_weaponry_wiz*TblTech[[#This Row],[3-5]],0))</f>
        <v>4.1666666666666664E-2</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1156</v>
      </c>
      <c r="C58" s="203">
        <f ca="1">TblPop[[#This Row],[Military%]]</f>
        <v>0.12325407825994242</v>
      </c>
      <c r="D58" s="184"/>
      <c r="E58" s="49">
        <f ca="1">OFFSET(TblMili[[#This Row],[Unit 1]],-1,0) + OFFSET(TblMili[[#This Row],[Train Unit 1]],-9,0) - TblMili[[#This Row],[Release Unit 1]]</f>
        <v>0</v>
      </c>
      <c r="F58" s="49">
        <f ca="1">OFFSET(TblMili[[#This Row],[Unit 2]],-1,0) + OFFSET(TblMili[[#This Row],[Train Unit 2]],-9,0)-TblMili[[#This Row],[Release Unit 2]]</f>
        <v>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14520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8" s="319">
        <f ca="1">TblMili[[#This Row],[Non Draft]]+TblMili[[#This Row],[Draftees]]</f>
        <v>1106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0</v>
      </c>
      <c r="V58" s="319">
        <f ca="1">TblMili[[#This Row],[Draft]] * (1 + TblMili[[#This Row],[Mods_Def]])</f>
        <v>1106</v>
      </c>
      <c r="W58" s="319">
        <f ca="1">TblConstr[[#This Row],[Land]]</f>
        <v>600</v>
      </c>
      <c r="X58" s="322"/>
      <c r="Y58" s="327">
        <f ca="1">IF(TblMili[[#This Row],[Set]]&lt;&gt;"",TblMili[[#This Row],[Set]],OFFSET(TblMili[[#This Row],[Draftrate]],-1,0))</f>
        <v>0.9</v>
      </c>
      <c r="Z58" s="113">
        <f ca="1">OFFSET(TblMili[[#This Row],[Draftees]],-1,0)+OFFSET(TblPop[[#This Row],[Draft Growth]],-1,0) - SUM(TblMili[[#This Row],[Train Unit 1]:[Train Wiz]]) - TblMili[[#This Row],[Release Draft]] + SUM(TblMili[[#This Row],[Release Unit 1]:[Release Arch]]) -TblExplore[[#This Row],[Draftees (2)]]</f>
        <v>1106</v>
      </c>
      <c r="AA58" s="200"/>
      <c r="AB58" s="234">
        <f ca="1">(TblConstr[[#This Row],[Tot Smi]]+TblConstr[[#This Row],[Dest Smi]])/(TblConstr[[#This Row],[Land]]-TblExplore[[#This Row],[Land Bonus]]*20)</f>
        <v>0</v>
      </c>
      <c r="AC58" s="178"/>
      <c r="AD58" s="318">
        <f>TblMili[[#This Row],[Hour]]</f>
        <v>55</v>
      </c>
      <c r="AE58" s="179">
        <f ca="1">TblExplore[[#This Row],[Time]]</f>
        <v>44406.999999999869</v>
      </c>
      <c r="AF58" s="232"/>
      <c r="AG58" s="232"/>
      <c r="AH58" s="232"/>
      <c r="AI58" s="232"/>
      <c r="AJ58" s="232"/>
      <c r="AK58" s="232"/>
      <c r="AL58" s="232"/>
      <c r="AM58" s="184"/>
      <c r="AN58" s="113">
        <f ca="1">TblProd[[#This Row],[Platinum]]</f>
        <v>399575</v>
      </c>
      <c r="AO58" s="113">
        <f ca="1">INDEX(TblProd[[#Headers],[Lumber]]:TblProd[[#This Row],[Ore]],COUNTA(TblProd[[#Headers],[Lumber]]:TblProd[[#This Row],[Lumber]]),MATCH(Military!$AO$2,TblProd[[#Headers],[Lumber]:[Ore]],0))</f>
        <v>42000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44406.999999999869</v>
      </c>
      <c r="AT58" s="113">
        <f ca="1">TblMili[[#This Row],[Draftees]]</f>
        <v>1106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0.75</v>
      </c>
      <c r="BS58" s="208">
        <f ca="1">TblMili[[#This Row],[WG''s]]</f>
        <v>0</v>
      </c>
      <c r="BT58" s="323">
        <f ca="1">IF(mystic_cap="none",TblMili[[#This Row],[Hill]]/mystic_bonus,MIN(mystic_cap,TblMili[[#This Row],[Hill]]/mystic_bonus))</f>
        <v>3.75</v>
      </c>
      <c r="BU58" s="323">
        <f ca="1">IF(druid_op_cap="none",TblMili[[#This Row],[Hill]]/druid_op_bonus,MIN(druid_op_cap,TblMili[[#This Row],[Hill]]/druid_op_bonus))</f>
        <v>3.75</v>
      </c>
      <c r="BV58" s="323">
        <f ca="1">IF(druid_dp_cap="none",TblMili[[#This Row],[Hill]]/druid_dp_bonus,MIN(druid_dp_cap,TblMili[[#This Row],[Hill]]/druid_dp_bonus))</f>
        <v>3.75</v>
      </c>
      <c r="BW58" s="323">
        <f ca="1">MIN(dryad_cap,TblMili[[#This Row],[Hill]]/dryad_bonus)</f>
        <v>3.75</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3</v>
      </c>
      <c r="CD58" s="59">
        <f ca="1">MIN(ice_elem_cap,TblMili[[#This Row],[Raw (2)]]*ice_elem_bonus)</f>
        <v>4.1666666666666664E-2</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3.95</v>
      </c>
      <c r="CK5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8" s="113">
        <f ca="1">TblMili[[#This Row],[Mystic bonus]]*TblMili[[#This Row],[Unit 3]]+TblMili[[#This Row],[Druid bonus]]*TblMili[[#This Row],[Unit 4]]</f>
        <v>0</v>
      </c>
      <c r="CM58" s="201">
        <f ca="1">MIN(6,TblMili[[#This Row],[Dryad]]+Races!$F$35)*1.8 +  IF(TblMili[[#This Row],[Dryad]]+Races!$F$35&gt;6,(TblMili[[#This Row],[Dryad]]+Races!$F$35-6)*0.2,0) - Races!$I$19</f>
        <v>3.7500000000000009</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5.4</v>
      </c>
      <c r="CT58" s="201">
        <f ca="1">1.8 * MIN(MAX(TblMili[[#This Row],[Ice Elemental]]+Races!$E$71,Races!$F$71),6)  +  0.45 * MIN(MIN(TblMili[[#This Row],[Ice Elemental]]+Races!$E$71,Races!$F$71),6)  +  0.2 * ( MAX(TblMili[[#This Row],[Ice Elemental]]+Races!$E$71-6,0) + MAX(Races!$F$71-6,0) )  -  Races!$I$71</f>
        <v>7.4999999999999289E-2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8" s="184"/>
      <c r="DA58" s="326">
        <f ca="1">(TblMili[[#This Row],[Wizards]]+2*TblMili[[#This Row],[Archmages]])/TblConstr[[#This Row],[Land]]</f>
        <v>4.1666666666666664E-2</v>
      </c>
      <c r="DB58" s="326">
        <f ca="1">TblMili[[#This Row],[Raw (2)]]*(1+race_wizard_strength+IF(TblMili[[#This Row],[Hour]]&gt;72,tech_magical_weaponry_wiz*TblTech[[#This Row],[3-5]],0))</f>
        <v>4.1666666666666664E-2</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1238</v>
      </c>
      <c r="C59" s="203">
        <f ca="1">TblPop[[#This Row],[Military%]]</f>
        <v>0.13199701460710098</v>
      </c>
      <c r="D59" s="184"/>
      <c r="E59" s="49">
        <f ca="1">OFFSET(TblMili[[#This Row],[Unit 1]],-1,0) + OFFSET(TblMili[[#This Row],[Train Unit 1]],-9,0) - TblMili[[#This Row],[Release Unit 1]]</f>
        <v>0</v>
      </c>
      <c r="F59" s="49">
        <f ca="1">OFFSET(TblMili[[#This Row],[Unit 2]],-1,0) + OFFSET(TblMili[[#This Row],[Train Unit 2]],-9,0)-TblMili[[#This Row],[Release Unit 2]]</f>
        <v>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14520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9" s="319">
        <f ca="1">TblMili[[#This Row],[Non Draft]]+TblMili[[#This Row],[Draftees]]</f>
        <v>1188</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0</v>
      </c>
      <c r="V59" s="319">
        <f ca="1">TblMili[[#This Row],[Draft]] * (1 + TblMili[[#This Row],[Mods_Def]])</f>
        <v>1188</v>
      </c>
      <c r="W59" s="319">
        <f ca="1">TblConstr[[#This Row],[Land]]</f>
        <v>600</v>
      </c>
      <c r="X59" s="322"/>
      <c r="Y59" s="327">
        <f ca="1">IF(TblMili[[#This Row],[Set]]&lt;&gt;"",TblMili[[#This Row],[Set]],OFFSET(TblMili[[#This Row],[Draftrate]],-1,0))</f>
        <v>0.9</v>
      </c>
      <c r="Z59" s="113">
        <f ca="1">OFFSET(TblMili[[#This Row],[Draftees]],-1,0)+OFFSET(TblPop[[#This Row],[Draft Growth]],-1,0) - SUM(TblMili[[#This Row],[Train Unit 1]:[Train Wiz]]) - TblMili[[#This Row],[Release Draft]] + SUM(TblMili[[#This Row],[Release Unit 1]:[Release Arch]]) -TblExplore[[#This Row],[Draftees (2)]]</f>
        <v>1188</v>
      </c>
      <c r="AA59" s="200"/>
      <c r="AB59" s="234">
        <f ca="1">(TblConstr[[#This Row],[Tot Smi]]+TblConstr[[#This Row],[Dest Smi]])/(TblConstr[[#This Row],[Land]]-TblExplore[[#This Row],[Land Bonus]]*20)</f>
        <v>0</v>
      </c>
      <c r="AC59" s="178"/>
      <c r="AD59" s="318">
        <f>TblMili[[#This Row],[Hour]]</f>
        <v>56</v>
      </c>
      <c r="AE59" s="179">
        <f ca="1">TblExplore[[#This Row],[Time]]</f>
        <v>44407.041666666533</v>
      </c>
      <c r="AF59" s="232"/>
      <c r="AG59" s="232"/>
      <c r="AH59" s="232"/>
      <c r="AI59" s="232"/>
      <c r="AJ59" s="232"/>
      <c r="AK59" s="232"/>
      <c r="AL59" s="232"/>
      <c r="AM59" s="184"/>
      <c r="AN59" s="113">
        <f ca="1">TblProd[[#This Row],[Platinum]]</f>
        <v>437065</v>
      </c>
      <c r="AO59" s="113">
        <f ca="1">INDEX(TblProd[[#Headers],[Lumber]]:TblProd[[#This Row],[Ore]],COUNTA(TblProd[[#Headers],[Lumber]]:TblProd[[#This Row],[Lumber]]),MATCH(Military!$AO$2,TblProd[[#Headers],[Lumber]:[Ore]],0))</f>
        <v>43800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44407.041666666533</v>
      </c>
      <c r="AT59" s="113">
        <f ca="1">TblMili[[#This Row],[Draftees]]</f>
        <v>1188</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0.75</v>
      </c>
      <c r="BS59" s="208">
        <f ca="1">TblMili[[#This Row],[WG''s]]</f>
        <v>0</v>
      </c>
      <c r="BT59" s="323">
        <f ca="1">IF(mystic_cap="none",TblMili[[#This Row],[Hill]]/mystic_bonus,MIN(mystic_cap,TblMili[[#This Row],[Hill]]/mystic_bonus))</f>
        <v>3.75</v>
      </c>
      <c r="BU59" s="323">
        <f ca="1">IF(druid_op_cap="none",TblMili[[#This Row],[Hill]]/druid_op_bonus,MIN(druid_op_cap,TblMili[[#This Row],[Hill]]/druid_op_bonus))</f>
        <v>3.75</v>
      </c>
      <c r="BV59" s="323">
        <f ca="1">IF(druid_dp_cap="none",TblMili[[#This Row],[Hill]]/druid_dp_bonus,MIN(druid_dp_cap,TblMili[[#This Row],[Hill]]/druid_dp_bonus))</f>
        <v>3.75</v>
      </c>
      <c r="BW59" s="323">
        <f ca="1">MIN(dryad_cap,TblMili[[#This Row],[Hill]]/dryad_bonus)</f>
        <v>3.75</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3</v>
      </c>
      <c r="CD59" s="59">
        <f ca="1">MIN(ice_elem_cap,TblMili[[#This Row],[Raw (2)]]*ice_elem_bonus)</f>
        <v>4.1666666666666664E-2</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3.95</v>
      </c>
      <c r="CK5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9" s="113">
        <f ca="1">TblMili[[#This Row],[Mystic bonus]]*TblMili[[#This Row],[Unit 3]]+TblMili[[#This Row],[Druid bonus]]*TblMili[[#This Row],[Unit 4]]</f>
        <v>0</v>
      </c>
      <c r="CM59" s="201">
        <f ca="1">MIN(6,TblMili[[#This Row],[Dryad]]+Races!$F$35)*1.8 +  IF(TblMili[[#This Row],[Dryad]]+Races!$F$35&gt;6,(TblMili[[#This Row],[Dryad]]+Races!$F$35-6)*0.2,0) - Races!$I$19</f>
        <v>3.7500000000000009</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5.4</v>
      </c>
      <c r="CT59" s="201">
        <f ca="1">1.8 * MIN(MAX(TblMili[[#This Row],[Ice Elemental]]+Races!$E$71,Races!$F$71),6)  +  0.45 * MIN(MIN(TblMili[[#This Row],[Ice Elemental]]+Races!$E$71,Races!$F$71),6)  +  0.2 * ( MAX(TblMili[[#This Row],[Ice Elemental]]+Races!$E$71-6,0) + MAX(Races!$F$71-6,0) )  -  Races!$I$71</f>
        <v>7.4999999999999289E-2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9" s="184"/>
      <c r="DA59" s="326">
        <f ca="1">(TblMili[[#This Row],[Wizards]]+2*TblMili[[#This Row],[Archmages]])/TblConstr[[#This Row],[Land]]</f>
        <v>4.1666666666666664E-2</v>
      </c>
      <c r="DB59" s="326">
        <f ca="1">TblMili[[#This Row],[Raw (2)]]*(1+race_wizard_strength+IF(TblMili[[#This Row],[Hour]]&gt;72,tech_magical_weaponry_wiz*TblTech[[#This Row],[3-5]],0))</f>
        <v>4.1666666666666664E-2</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1319</v>
      </c>
      <c r="C60" s="203">
        <f ca="1">TblPop[[#This Row],[Military%]]</f>
        <v>0.14063332977929416</v>
      </c>
      <c r="D60" s="184"/>
      <c r="E60" s="49">
        <f ca="1">OFFSET(TblMili[[#This Row],[Unit 1]],-1,0) + OFFSET(TblMili[[#This Row],[Train Unit 1]],-9,0) - TblMili[[#This Row],[Release Unit 1]]</f>
        <v>0</v>
      </c>
      <c r="F60" s="49">
        <f ca="1">OFFSET(TblMili[[#This Row],[Unit 2]],-1,0) + OFFSET(TblMili[[#This Row],[Train Unit 2]],-9,0)-TblMili[[#This Row],[Release Unit 2]]</f>
        <v>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14520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0" s="319">
        <f ca="1">TblMili[[#This Row],[Non Draft]]+TblMili[[#This Row],[Draftees]]</f>
        <v>1269</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0</v>
      </c>
      <c r="V60" s="319">
        <f ca="1">TblMili[[#This Row],[Draft]] * (1 + TblMili[[#This Row],[Mods_Def]])</f>
        <v>1269</v>
      </c>
      <c r="W60" s="319">
        <f ca="1">TblConstr[[#This Row],[Land]]</f>
        <v>600</v>
      </c>
      <c r="X60" s="322"/>
      <c r="Y60" s="327">
        <f ca="1">IF(TblMili[[#This Row],[Set]]&lt;&gt;"",TblMili[[#This Row],[Set]],OFFSET(TblMili[[#This Row],[Draftrate]],-1,0))</f>
        <v>0.9</v>
      </c>
      <c r="Z60" s="113">
        <f ca="1">OFFSET(TblMili[[#This Row],[Draftees]],-1,0)+OFFSET(TblPop[[#This Row],[Draft Growth]],-1,0) - SUM(TblMili[[#This Row],[Train Unit 1]:[Train Wiz]]) - TblMili[[#This Row],[Release Draft]] + SUM(TblMili[[#This Row],[Release Unit 1]:[Release Arch]]) -TblExplore[[#This Row],[Draftees (2)]]</f>
        <v>1269</v>
      </c>
      <c r="AA60" s="200"/>
      <c r="AB60" s="234">
        <f ca="1">(TblConstr[[#This Row],[Tot Smi]]+TblConstr[[#This Row],[Dest Smi]])/(TblConstr[[#This Row],[Land]]-TblExplore[[#This Row],[Land Bonus]]*20)</f>
        <v>0</v>
      </c>
      <c r="AC60" s="178"/>
      <c r="AD60" s="318">
        <f>TblMili[[#This Row],[Hour]]</f>
        <v>57</v>
      </c>
      <c r="AE60" s="179">
        <f ca="1">TblExplore[[#This Row],[Time]]</f>
        <v>44407.083333333198</v>
      </c>
      <c r="AF60" s="232"/>
      <c r="AG60" s="232"/>
      <c r="AH60" s="232"/>
      <c r="AI60" s="232"/>
      <c r="AJ60" s="232"/>
      <c r="AK60" s="232"/>
      <c r="AL60" s="232"/>
      <c r="AM60" s="184"/>
      <c r="AN60" s="113">
        <f ca="1">TblProd[[#This Row],[Platinum]]</f>
        <v>474311</v>
      </c>
      <c r="AO60" s="113">
        <f ca="1">INDEX(TblProd[[#Headers],[Lumber]]:TblProd[[#This Row],[Ore]],COUNTA(TblProd[[#Headers],[Lumber]]:TblProd[[#This Row],[Lumber]]),MATCH(Military!$AO$2,TblProd[[#Headers],[Lumber]:[Ore]],0))</f>
        <v>45600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44407.083333333198</v>
      </c>
      <c r="AT60" s="113">
        <f ca="1">TblMili[[#This Row],[Draftees]]</f>
        <v>1269</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0.75</v>
      </c>
      <c r="BS60" s="208">
        <f ca="1">TblMili[[#This Row],[WG''s]]</f>
        <v>0</v>
      </c>
      <c r="BT60" s="323">
        <f ca="1">IF(mystic_cap="none",TblMili[[#This Row],[Hill]]/mystic_bonus,MIN(mystic_cap,TblMili[[#This Row],[Hill]]/mystic_bonus))</f>
        <v>3.75</v>
      </c>
      <c r="BU60" s="323">
        <f ca="1">IF(druid_op_cap="none",TblMili[[#This Row],[Hill]]/druid_op_bonus,MIN(druid_op_cap,TblMili[[#This Row],[Hill]]/druid_op_bonus))</f>
        <v>3.75</v>
      </c>
      <c r="BV60" s="323">
        <f ca="1">IF(druid_dp_cap="none",TblMili[[#This Row],[Hill]]/druid_dp_bonus,MIN(druid_dp_cap,TblMili[[#This Row],[Hill]]/druid_dp_bonus))</f>
        <v>3.75</v>
      </c>
      <c r="BW60" s="323">
        <f ca="1">MIN(dryad_cap,TblMili[[#This Row],[Hill]]/dryad_bonus)</f>
        <v>3.75</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3</v>
      </c>
      <c r="CD60" s="59">
        <f ca="1">MIN(ice_elem_cap,TblMili[[#This Row],[Raw (2)]]*ice_elem_bonus)</f>
        <v>4.1666666666666664E-2</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3.95</v>
      </c>
      <c r="CK6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0" s="113">
        <f ca="1">TblMili[[#This Row],[Mystic bonus]]*TblMili[[#This Row],[Unit 3]]+TblMili[[#This Row],[Druid bonus]]*TblMili[[#This Row],[Unit 4]]</f>
        <v>0</v>
      </c>
      <c r="CM60" s="201">
        <f ca="1">MIN(6,TblMili[[#This Row],[Dryad]]+Races!$F$35)*1.8 +  IF(TblMili[[#This Row],[Dryad]]+Races!$F$35&gt;6,(TblMili[[#This Row],[Dryad]]+Races!$F$35-6)*0.2,0) - Races!$I$19</f>
        <v>3.7500000000000009</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5.4</v>
      </c>
      <c r="CT60" s="201">
        <f ca="1">1.8 * MIN(MAX(TblMili[[#This Row],[Ice Elemental]]+Races!$E$71,Races!$F$71),6)  +  0.45 * MIN(MIN(TblMili[[#This Row],[Ice Elemental]]+Races!$E$71,Races!$F$71),6)  +  0.2 * ( MAX(TblMili[[#This Row],[Ice Elemental]]+Races!$E$71-6,0) + MAX(Races!$F$71-6,0) )  -  Races!$I$71</f>
        <v>7.4999999999999289E-2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60" s="184"/>
      <c r="DA60" s="326">
        <f ca="1">(TblMili[[#This Row],[Wizards]]+2*TblMili[[#This Row],[Archmages]])/TblConstr[[#This Row],[Land]]</f>
        <v>4.1666666666666664E-2</v>
      </c>
      <c r="DB60" s="326">
        <f ca="1">TblMili[[#This Row],[Raw (2)]]*(1+race_wizard_strength+IF(TblMili[[#This Row],[Hour]]&gt;72,tech_magical_weaponry_wiz*TblTech[[#This Row],[3-5]],0))</f>
        <v>4.1666666666666664E-2</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1400</v>
      </c>
      <c r="C61" s="203">
        <f ca="1">TblPop[[#This Row],[Military%]]</f>
        <v>0.14926964495148737</v>
      </c>
      <c r="D61" s="184"/>
      <c r="E61" s="49">
        <f ca="1">OFFSET(TblMili[[#This Row],[Unit 1]],-1,0) + OFFSET(TblMili[[#This Row],[Train Unit 1]],-9,0) - TblMili[[#This Row],[Release Unit 1]]</f>
        <v>0</v>
      </c>
      <c r="F61" s="49">
        <f ca="1">OFFSET(TblMili[[#This Row],[Unit 2]],-1,0) + OFFSET(TblMili[[#This Row],[Train Unit 2]],-9,0)-TblMili[[#This Row],[Release Unit 2]]</f>
        <v>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14520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1" s="319">
        <f ca="1">TblMili[[#This Row],[Non Draft]]+TblMili[[#This Row],[Draftees]]</f>
        <v>1350</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0</v>
      </c>
      <c r="V61" s="319">
        <f ca="1">TblMili[[#This Row],[Draft]] * (1 + TblMili[[#This Row],[Mods_Def]])</f>
        <v>1350</v>
      </c>
      <c r="W61" s="319">
        <f ca="1">TblConstr[[#This Row],[Land]]</f>
        <v>600</v>
      </c>
      <c r="X61" s="322"/>
      <c r="Y61" s="327">
        <f ca="1">IF(TblMili[[#This Row],[Set]]&lt;&gt;"",TblMili[[#This Row],[Set]],OFFSET(TblMili[[#This Row],[Draftrate]],-1,0))</f>
        <v>0.9</v>
      </c>
      <c r="Z61" s="113">
        <f ca="1">OFFSET(TblMili[[#This Row],[Draftees]],-1,0)+OFFSET(TblPop[[#This Row],[Draft Growth]],-1,0) - SUM(TblMili[[#This Row],[Train Unit 1]:[Train Wiz]]) - TblMili[[#This Row],[Release Draft]] + SUM(TblMili[[#This Row],[Release Unit 1]:[Release Arch]]) -TblExplore[[#This Row],[Draftees (2)]]</f>
        <v>1350</v>
      </c>
      <c r="AA61" s="200"/>
      <c r="AB61" s="234">
        <f ca="1">(TblConstr[[#This Row],[Tot Smi]]+TblConstr[[#This Row],[Dest Smi]])/(TblConstr[[#This Row],[Land]]-TblExplore[[#This Row],[Land Bonus]]*20)</f>
        <v>0</v>
      </c>
      <c r="AC61" s="178"/>
      <c r="AD61" s="318">
        <f>TblMili[[#This Row],[Hour]]</f>
        <v>58</v>
      </c>
      <c r="AE61" s="179">
        <f ca="1">TblExplore[[#This Row],[Time]]</f>
        <v>44407.124999999862</v>
      </c>
      <c r="AF61" s="232"/>
      <c r="AG61" s="232"/>
      <c r="AH61" s="232"/>
      <c r="AI61" s="232"/>
      <c r="AJ61" s="232"/>
      <c r="AK61" s="232"/>
      <c r="AL61" s="232"/>
      <c r="AM61" s="184"/>
      <c r="AN61" s="113">
        <f ca="1">TblProd[[#This Row],[Platinum]]</f>
        <v>511317</v>
      </c>
      <c r="AO61" s="113">
        <f ca="1">INDEX(TblProd[[#Headers],[Lumber]]:TblProd[[#This Row],[Ore]],COUNTA(TblProd[[#Headers],[Lumber]]:TblProd[[#This Row],[Lumber]]),MATCH(Military!$AO$2,TblProd[[#Headers],[Lumber]:[Ore]],0))</f>
        <v>47400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44407.124999999862</v>
      </c>
      <c r="AT61" s="113">
        <f ca="1">TblMili[[#This Row],[Draftees]]</f>
        <v>1350</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0.75</v>
      </c>
      <c r="BS61" s="208">
        <f ca="1">TblMili[[#This Row],[WG''s]]</f>
        <v>0</v>
      </c>
      <c r="BT61" s="323">
        <f ca="1">IF(mystic_cap="none",TblMili[[#This Row],[Hill]]/mystic_bonus,MIN(mystic_cap,TblMili[[#This Row],[Hill]]/mystic_bonus))</f>
        <v>3.75</v>
      </c>
      <c r="BU61" s="323">
        <f ca="1">IF(druid_op_cap="none",TblMili[[#This Row],[Hill]]/druid_op_bonus,MIN(druid_op_cap,TblMili[[#This Row],[Hill]]/druid_op_bonus))</f>
        <v>3.75</v>
      </c>
      <c r="BV61" s="323">
        <f ca="1">IF(druid_dp_cap="none",TblMili[[#This Row],[Hill]]/druid_dp_bonus,MIN(druid_dp_cap,TblMili[[#This Row],[Hill]]/druid_dp_bonus))</f>
        <v>3.75</v>
      </c>
      <c r="BW61" s="323">
        <f ca="1">MIN(dryad_cap,TblMili[[#This Row],[Hill]]/dryad_bonus)</f>
        <v>3.75</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3</v>
      </c>
      <c r="CD61" s="59">
        <f ca="1">MIN(ice_elem_cap,TblMili[[#This Row],[Raw (2)]]*ice_elem_bonus)</f>
        <v>4.1666666666666664E-2</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3.95</v>
      </c>
      <c r="CK6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1" s="113">
        <f ca="1">TblMili[[#This Row],[Mystic bonus]]*TblMili[[#This Row],[Unit 3]]+TblMili[[#This Row],[Druid bonus]]*TblMili[[#This Row],[Unit 4]]</f>
        <v>0</v>
      </c>
      <c r="CM61" s="201">
        <f ca="1">MIN(6,TblMili[[#This Row],[Dryad]]+Races!$F$35)*1.8 +  IF(TblMili[[#This Row],[Dryad]]+Races!$F$35&gt;6,(TblMili[[#This Row],[Dryad]]+Races!$F$35-6)*0.2,0) - Races!$I$19</f>
        <v>3.7500000000000009</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5.4</v>
      </c>
      <c r="CT61" s="201">
        <f ca="1">1.8 * MIN(MAX(TblMili[[#This Row],[Ice Elemental]]+Races!$E$71,Races!$F$71),6)  +  0.45 * MIN(MIN(TblMili[[#This Row],[Ice Elemental]]+Races!$E$71,Races!$F$71),6)  +  0.2 * ( MAX(TblMili[[#This Row],[Ice Elemental]]+Races!$E$71-6,0) + MAX(Races!$F$71-6,0) )  -  Races!$I$71</f>
        <v>7.4999999999999289E-2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61" s="184"/>
      <c r="DA61" s="326">
        <f ca="1">(TblMili[[#This Row],[Wizards]]+2*TblMili[[#This Row],[Archmages]])/TblConstr[[#This Row],[Land]]</f>
        <v>4.1666666666666664E-2</v>
      </c>
      <c r="DB61" s="326">
        <f ca="1">TblMili[[#This Row],[Raw (2)]]*(1+race_wizard_strength+IF(TblMili[[#This Row],[Hour]]&gt;72,tech_magical_weaponry_wiz*TblTech[[#This Row],[3-5]],0))</f>
        <v>4.1666666666666664E-2</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1480</v>
      </c>
      <c r="C62" s="203">
        <f ca="1">TblPop[[#This Row],[Military%]]</f>
        <v>0.15779933894871523</v>
      </c>
      <c r="D62" s="184"/>
      <c r="E62" s="49">
        <f ca="1">OFFSET(TblMili[[#This Row],[Unit 1]],-1,0) + OFFSET(TblMili[[#This Row],[Train Unit 1]],-9,0) - TblMili[[#This Row],[Release Unit 1]]</f>
        <v>0</v>
      </c>
      <c r="F62" s="49">
        <f ca="1">OFFSET(TblMili[[#This Row],[Unit 2]],-1,0) + OFFSET(TblMili[[#This Row],[Train Unit 2]],-9,0)-TblMili[[#This Row],[Release Unit 2]]</f>
        <v>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15000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2" s="319">
        <f ca="1">TblMili[[#This Row],[Non Draft]]+TblMili[[#This Row],[Draftees]]</f>
        <v>1430</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0</v>
      </c>
      <c r="V62" s="319">
        <f ca="1">TblMili[[#This Row],[Draft]] * (1 + TblMili[[#This Row],[Mods_Def]])</f>
        <v>1430</v>
      </c>
      <c r="W62" s="319">
        <f ca="1">TblConstr[[#This Row],[Land]]</f>
        <v>600</v>
      </c>
      <c r="X62" s="322"/>
      <c r="Y62" s="327">
        <f ca="1">IF(TblMili[[#This Row],[Set]]&lt;&gt;"",TblMili[[#This Row],[Set]],OFFSET(TblMili[[#This Row],[Draftrate]],-1,0))</f>
        <v>0.9</v>
      </c>
      <c r="Z62" s="113">
        <f ca="1">OFFSET(TblMili[[#This Row],[Draftees]],-1,0)+OFFSET(TblPop[[#This Row],[Draft Growth]],-1,0) - SUM(TblMili[[#This Row],[Train Unit 1]:[Train Wiz]]) - TblMili[[#This Row],[Release Draft]] + SUM(TblMili[[#This Row],[Release Unit 1]:[Release Arch]]) -TblExplore[[#This Row],[Draftees (2)]]</f>
        <v>1430</v>
      </c>
      <c r="AA62" s="200"/>
      <c r="AB62" s="234">
        <f ca="1">(TblConstr[[#This Row],[Tot Smi]]+TblConstr[[#This Row],[Dest Smi]])/(TblConstr[[#This Row],[Land]]-TblExplore[[#This Row],[Land Bonus]]*20)</f>
        <v>0.16</v>
      </c>
      <c r="AC62" s="178"/>
      <c r="AD62" s="318">
        <f>TblMili[[#This Row],[Hour]]</f>
        <v>59</v>
      </c>
      <c r="AE62" s="179">
        <f ca="1">TblExplore[[#This Row],[Time]]</f>
        <v>44407.166666666526</v>
      </c>
      <c r="AF62" s="232"/>
      <c r="AG62" s="232"/>
      <c r="AH62" s="232"/>
      <c r="AI62" s="232"/>
      <c r="AJ62" s="232"/>
      <c r="AK62" s="232"/>
      <c r="AL62" s="232"/>
      <c r="AM62" s="184"/>
      <c r="AN62" s="113">
        <f ca="1">TblProd[[#This Row],[Platinum]]</f>
        <v>548082</v>
      </c>
      <c r="AO62" s="113">
        <f ca="1">INDEX(TblProd[[#Headers],[Lumber]]:TblProd[[#This Row],[Ore]],COUNTA(TblProd[[#Headers],[Lumber]]:TblProd[[#This Row],[Lumber]]),MATCH(Military!$AO$2,TblProd[[#Headers],[Lumber]:[Ore]],0))</f>
        <v>49200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44407.166666666526</v>
      </c>
      <c r="AT62" s="113">
        <f ca="1">TblMili[[#This Row],[Draftees]]</f>
        <v>1430</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187</v>
      </c>
      <c r="BG62" s="113">
        <f ca="1">ROUNDUP(IF(race="Gnome",1,(1-MIN(TblMili[[#This Row],[Smithies]]*smithy_bonus,smithy_bonus_cap) + tech_3_5*TblTech[[#This Row],[3-5]] + tech_5_3*TblTech[[#This Row],[5-3]] + tech_5_5*TblTech[[#This Row],[5-5]]))*spec_op_ore,0)</f>
        <v>17</v>
      </c>
      <c r="BH62" s="113">
        <f ca="1">ROUNDUP((1-MIN(TblMili[[#This Row],[Smithies]]*smithy_bonus,smithy_bonus_cap) + tech_3_5*TblTech[[#This Row],[3-5]] + tech_5_3*TblTech[[#This Row],[5-3]] + tech_5_5*TblTech[[#This Row],[5-5]])*spec_dp_plat,0)</f>
        <v>187</v>
      </c>
      <c r="BI62" s="113">
        <f ca="1">ROUNDUP(IF(race="Gnome",1,(1-MIN(TblMili[[#This Row],[Smithies]]*smithy_bonus,smithy_bonus_cap) + tech_3_5*TblTech[[#This Row],[3-5]] + tech_5_3*TblTech[[#This Row],[5-3]] + tech_5_5*TblTech[[#This Row],[5-5]]))*spec_dp_ore,0)</f>
        <v>11</v>
      </c>
      <c r="BJ62" s="113">
        <f ca="1">ROUNDUP((1-MIN(TblMili[[#This Row],[Smithies]]*smithy_bonus,smithy_bonus_cap) + tech_3_5*TblTech[[#This Row],[3-5]] + tech_5_3*TblTech[[#This Row],[5-3]] + tech_5_5*TblTech[[#This Row],[5-5]])*elite1_plat,0)</f>
        <v>697</v>
      </c>
      <c r="BK62" s="113">
        <f ca="1">ROUNDUP(IF(race="Gnome",1,(1-MIN(TblMili[[#This Row],[Smithies]]*smithy_bonus,smithy_bonus_cap) + tech_3_5*TblTech[[#This Row],[3-5]] + tech_5_3*TblTech[[#This Row],[5-3]] + tech_5_5*TblTech[[#This Row],[5-5]]))*elite1_ore,0)</f>
        <v>51</v>
      </c>
      <c r="BL62" s="113">
        <f ca="1">ROUNDUP((1-MIN(TblMili[[#This Row],[Smithies]]*smithy_bonus,smithy_bonus_cap) + tech_3_5*TblTech[[#This Row],[3-5]] + tech_5_3*TblTech[[#This Row],[5-3]] + tech_5_5*TblTech[[#This Row],[5-5]])*elite2_plat,0)</f>
        <v>850</v>
      </c>
      <c r="BM62" s="113">
        <f ca="1">ROUNDUP(IF(race="Gnome",1,(1-MIN(TblMili[[#This Row],[Smithies]]*smithy_bonus,smithy_bonus_cap) + tech_3_5*TblTech[[#This Row],[3-5]] + tech_5_3*TblTech[[#This Row],[5-3]] + tech_5_5*TblTech[[#This Row],[5-5]]))*elite2_ore,0)</f>
        <v>68</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0.75</v>
      </c>
      <c r="BS62" s="208">
        <f ca="1">TblMili[[#This Row],[WG''s]]</f>
        <v>0</v>
      </c>
      <c r="BT62" s="323">
        <f ca="1">IF(mystic_cap="none",TblMili[[#This Row],[Hill]]/mystic_bonus,MIN(mystic_cap,TblMili[[#This Row],[Hill]]/mystic_bonus))</f>
        <v>3.75</v>
      </c>
      <c r="BU62" s="323">
        <f ca="1">IF(druid_op_cap="none",TblMili[[#This Row],[Hill]]/druid_op_bonus,MIN(druid_op_cap,TblMili[[#This Row],[Hill]]/druid_op_bonus))</f>
        <v>3.75</v>
      </c>
      <c r="BV62" s="323">
        <f ca="1">IF(druid_dp_cap="none",TblMili[[#This Row],[Hill]]/druid_dp_bonus,MIN(druid_dp_cap,TblMili[[#This Row],[Hill]]/druid_dp_bonus))</f>
        <v>3.75</v>
      </c>
      <c r="BW62" s="323">
        <f ca="1">MIN(dryad_cap,TblMili[[#This Row],[Hill]]/dryad_bonus)</f>
        <v>3.75</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3</v>
      </c>
      <c r="CD62" s="59">
        <f ca="1">MIN(ice_elem_cap,TblMili[[#This Row],[Raw (2)]]*ice_elem_bonus)</f>
        <v>4.1666666666666664E-2</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3.95</v>
      </c>
      <c r="CK6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2" s="113">
        <f ca="1">TblMili[[#This Row],[Mystic bonus]]*TblMili[[#This Row],[Unit 3]]+TblMili[[#This Row],[Druid bonus]]*TblMili[[#This Row],[Unit 4]]</f>
        <v>0</v>
      </c>
      <c r="CM62" s="201">
        <f ca="1">MIN(6,TblMili[[#This Row],[Dryad]]+Races!$F$35)*1.8 +  IF(TblMili[[#This Row],[Dryad]]+Races!$F$35&gt;6,(TblMili[[#This Row],[Dryad]]+Races!$F$35-6)*0.2,0) - Races!$I$19</f>
        <v>3.7500000000000009</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5.4</v>
      </c>
      <c r="CT62" s="201">
        <f ca="1">1.8 * MIN(MAX(TblMili[[#This Row],[Ice Elemental]]+Races!$E$71,Races!$F$71),6)  +  0.45 * MIN(MIN(TblMili[[#This Row],[Ice Elemental]]+Races!$E$71,Races!$F$71),6)  +  0.2 * ( MAX(TblMili[[#This Row],[Ice Elemental]]+Races!$E$71-6,0) + MAX(Races!$F$71-6,0) )  -  Races!$I$71</f>
        <v>7.4999999999999289E-2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15000</v>
      </c>
      <c r="CZ62" s="184"/>
      <c r="DA62" s="326">
        <f ca="1">(TblMili[[#This Row],[Wizards]]+2*TblMili[[#This Row],[Archmages]])/TblConstr[[#This Row],[Land]]</f>
        <v>4.1666666666666664E-2</v>
      </c>
      <c r="DB62" s="326">
        <f ca="1">TblMili[[#This Row],[Raw (2)]]*(1+race_wizard_strength+IF(TblMili[[#This Row],[Hour]]&gt;72,tech_magical_weaponry_wiz*TblTech[[#This Row],[3-5]],0))</f>
        <v>4.1666666666666664E-2</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1559</v>
      </c>
      <c r="C63" s="203">
        <f ca="1">TblPop[[#This Row],[Military%]]</f>
        <v>0.16622241177097771</v>
      </c>
      <c r="D63" s="184"/>
      <c r="E63" s="49">
        <f ca="1">OFFSET(TblMili[[#This Row],[Unit 1]],-1,0) + OFFSET(TblMili[[#This Row],[Train Unit 1]],-9,0) - TblMili[[#This Row],[Release Unit 1]]</f>
        <v>0</v>
      </c>
      <c r="F63" s="49">
        <f ca="1">OFFSET(TblMili[[#This Row],[Unit 2]],-1,0) + OFFSET(TblMili[[#This Row],[Train Unit 2]],-9,0)-TblMili[[#This Row],[Release Unit 2]]</f>
        <v>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15035</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3" s="319">
        <f ca="1">TblMili[[#This Row],[Non Draft]]+TblMili[[#This Row],[Draftees]]</f>
        <v>1509</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0</v>
      </c>
      <c r="V63" s="319">
        <f ca="1">TblMili[[#This Row],[Draft]] * (1 + TblMili[[#This Row],[Mods_Def]])</f>
        <v>1509</v>
      </c>
      <c r="W63" s="319">
        <f ca="1">TblConstr[[#This Row],[Land]]</f>
        <v>600</v>
      </c>
      <c r="X63" s="322"/>
      <c r="Y63" s="327">
        <f ca="1">IF(TblMili[[#This Row],[Set]]&lt;&gt;"",TblMili[[#This Row],[Set]],OFFSET(TblMili[[#This Row],[Draftrate]],-1,0))</f>
        <v>0.9</v>
      </c>
      <c r="Z63" s="113">
        <f ca="1">OFFSET(TblMili[[#This Row],[Draftees]],-1,0)+OFFSET(TblPop[[#This Row],[Draft Growth]],-1,0) - SUM(TblMili[[#This Row],[Train Unit 1]:[Train Wiz]]) - TblMili[[#This Row],[Release Draft]] + SUM(TblMili[[#This Row],[Release Unit 1]:[Release Arch]]) -TblExplore[[#This Row],[Draftees (2)]]</f>
        <v>1509</v>
      </c>
      <c r="AA63" s="200"/>
      <c r="AB63" s="234">
        <f ca="1">(TblConstr[[#This Row],[Tot Smi]]+TblConstr[[#This Row],[Dest Smi]])/(TblConstr[[#This Row],[Land]]-TblExplore[[#This Row],[Land Bonus]]*20)</f>
        <v>0.17166666666666666</v>
      </c>
      <c r="AC63" s="178"/>
      <c r="AD63" s="318">
        <f>TblMili[[#This Row],[Hour]]</f>
        <v>60</v>
      </c>
      <c r="AE63" s="179">
        <f ca="1">TblExplore[[#This Row],[Time]]</f>
        <v>44407.20833333319</v>
      </c>
      <c r="AF63" s="232"/>
      <c r="AG63" s="232"/>
      <c r="AH63" s="232"/>
      <c r="AI63" s="232"/>
      <c r="AJ63" s="232"/>
      <c r="AK63" s="232"/>
      <c r="AL63" s="232"/>
      <c r="AM63" s="184"/>
      <c r="AN63" s="113">
        <f ca="1">TblProd[[#This Row],[Platinum]]</f>
        <v>584610</v>
      </c>
      <c r="AO63" s="113">
        <f ca="1">INDEX(TblProd[[#Headers],[Lumber]]:TblProd[[#This Row],[Ore]],COUNTA(TblProd[[#Headers],[Lumber]]:TblProd[[#This Row],[Lumber]]),MATCH(Military!$AO$2,TblProd[[#Headers],[Lumber]:[Ore]],0))</f>
        <v>51000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44407.20833333319</v>
      </c>
      <c r="AT63" s="113">
        <f ca="1">TblMili[[#This Row],[Draftees]]</f>
        <v>1509</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181</v>
      </c>
      <c r="BG63" s="113">
        <f ca="1">ROUNDUP(IF(race="Gnome",1,(1-MIN(TblMili[[#This Row],[Smithies]]*smithy_bonus,smithy_bonus_cap) + tech_3_5*TblTech[[#This Row],[3-5]] + tech_5_3*TblTech[[#This Row],[5-3]] + tech_5_5*TblTech[[#This Row],[5-5]]))*spec_op_ore,0)</f>
        <v>17</v>
      </c>
      <c r="BH63" s="113">
        <f ca="1">ROUNDUP((1-MIN(TblMili[[#This Row],[Smithies]]*smithy_bonus,smithy_bonus_cap) + tech_3_5*TblTech[[#This Row],[3-5]] + tech_5_3*TblTech[[#This Row],[5-3]] + tech_5_5*TblTech[[#This Row],[5-5]])*spec_dp_plat,0)</f>
        <v>181</v>
      </c>
      <c r="BI63" s="113">
        <f ca="1">ROUNDUP(IF(race="Gnome",1,(1-MIN(TblMili[[#This Row],[Smithies]]*smithy_bonus,smithy_bonus_cap) + tech_3_5*TblTech[[#This Row],[3-5]] + tech_5_3*TblTech[[#This Row],[5-3]] + tech_5_5*TblTech[[#This Row],[5-5]]))*spec_dp_ore,0)</f>
        <v>10</v>
      </c>
      <c r="BJ63" s="113">
        <f ca="1">ROUNDUP((1-MIN(TblMili[[#This Row],[Smithies]]*smithy_bonus,smithy_bonus_cap) + tech_3_5*TblTech[[#This Row],[3-5]] + tech_5_3*TblTech[[#This Row],[5-3]] + tech_5_5*TblTech[[#This Row],[5-5]])*elite1_plat,0)</f>
        <v>674</v>
      </c>
      <c r="BK63" s="113">
        <f ca="1">ROUNDUP(IF(race="Gnome",1,(1-MIN(TblMili[[#This Row],[Smithies]]*smithy_bonus,smithy_bonus_cap) + tech_3_5*TblTech[[#This Row],[3-5]] + tech_5_3*TblTech[[#This Row],[5-3]] + tech_5_5*TblTech[[#This Row],[5-5]]))*elite1_ore,0)</f>
        <v>50</v>
      </c>
      <c r="BL63" s="113">
        <f ca="1">ROUNDUP((1-MIN(TblMili[[#This Row],[Smithies]]*smithy_bonus,smithy_bonus_cap) + tech_3_5*TblTech[[#This Row],[3-5]] + tech_5_3*TblTech[[#This Row],[5-3]] + tech_5_5*TblTech[[#This Row],[5-5]])*elite2_plat,0)</f>
        <v>821</v>
      </c>
      <c r="BM63" s="113">
        <f ca="1">ROUNDUP(IF(race="Gnome",1,(1-MIN(TblMili[[#This Row],[Smithies]]*smithy_bonus,smithy_bonus_cap) + tech_3_5*TblTech[[#This Row],[3-5]] + tech_5_3*TblTech[[#This Row],[5-3]] + tech_5_5*TblTech[[#This Row],[5-5]]))*elite2_ore,0)</f>
        <v>66</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0.75</v>
      </c>
      <c r="BS63" s="208">
        <f ca="1">TblMili[[#This Row],[WG''s]]</f>
        <v>0</v>
      </c>
      <c r="BT63" s="323">
        <f ca="1">IF(mystic_cap="none",TblMili[[#This Row],[Hill]]/mystic_bonus,MIN(mystic_cap,TblMili[[#This Row],[Hill]]/mystic_bonus))</f>
        <v>3.75</v>
      </c>
      <c r="BU63" s="323">
        <f ca="1">IF(druid_op_cap="none",TblMili[[#This Row],[Hill]]/druid_op_bonus,MIN(druid_op_cap,TblMili[[#This Row],[Hill]]/druid_op_bonus))</f>
        <v>3.75</v>
      </c>
      <c r="BV63" s="323">
        <f ca="1">IF(druid_dp_cap="none",TblMili[[#This Row],[Hill]]/druid_dp_bonus,MIN(druid_dp_cap,TblMili[[#This Row],[Hill]]/druid_dp_bonus))</f>
        <v>3.75</v>
      </c>
      <c r="BW63" s="323">
        <f ca="1">MIN(dryad_cap,TblMili[[#This Row],[Hill]]/dryad_bonus)</f>
        <v>3.75</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3</v>
      </c>
      <c r="CD63" s="59">
        <f ca="1">MIN(ice_elem_cap,TblMili[[#This Row],[Raw (2)]]*ice_elem_bonus)</f>
        <v>4.1666666666666664E-2</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3.95</v>
      </c>
      <c r="CK6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3" s="113">
        <f ca="1">TblMili[[#This Row],[Mystic bonus]]*TblMili[[#This Row],[Unit 3]]+TblMili[[#This Row],[Druid bonus]]*TblMili[[#This Row],[Unit 4]]</f>
        <v>0</v>
      </c>
      <c r="CM63" s="201">
        <f ca="1">MIN(6,TblMili[[#This Row],[Dryad]]+Races!$F$35)*1.8 +  IF(TblMili[[#This Row],[Dryad]]+Races!$F$35&gt;6,(TblMili[[#This Row],[Dryad]]+Races!$F$35-6)*0.2,0) - Races!$I$19</f>
        <v>3.7500000000000009</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5.4</v>
      </c>
      <c r="CT63" s="201">
        <f ca="1">1.8 * MIN(MAX(TblMili[[#This Row],[Ice Elemental]]+Races!$E$71,Races!$F$71),6)  +  0.45 * MIN(MIN(TblMili[[#This Row],[Ice Elemental]]+Races!$E$71,Races!$F$71),6)  +  0.2 * ( MAX(TblMili[[#This Row],[Ice Elemental]]+Races!$E$71-6,0) + MAX(Races!$F$71-6,0) )  -  Races!$I$71</f>
        <v>7.4999999999999289E-2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15035</v>
      </c>
      <c r="CZ63" s="184"/>
      <c r="DA63" s="326">
        <f ca="1">(TblMili[[#This Row],[Wizards]]+2*TblMili[[#This Row],[Archmages]])/TblConstr[[#This Row],[Land]]</f>
        <v>4.1666666666666664E-2</v>
      </c>
      <c r="DB63" s="326">
        <f ca="1">TblMili[[#This Row],[Raw (2)]]*(1+race_wizard_strength+IF(TblMili[[#This Row],[Hour]]&gt;72,tech_magical_weaponry_wiz*TblTech[[#This Row],[3-5]],0))</f>
        <v>4.1666666666666664E-2</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1637</v>
      </c>
      <c r="C64" s="203">
        <f ca="1">TblPop[[#This Row],[Military%]]</f>
        <v>0.16820797369502671</v>
      </c>
      <c r="D64" s="184"/>
      <c r="E64" s="49">
        <f ca="1">OFFSET(TblMili[[#This Row],[Unit 1]],-1,0) + OFFSET(TblMili[[#This Row],[Train Unit 1]],-9,0) - TblMili[[#This Row],[Release Unit 1]]</f>
        <v>0</v>
      </c>
      <c r="F64" s="49">
        <f ca="1">OFFSET(TblMili[[#This Row],[Unit 2]],-1,0) + OFFSET(TblMili[[#This Row],[Train Unit 2]],-9,0)-TblMili[[#This Row],[Release Unit 2]]</f>
        <v>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15175</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4" s="319">
        <f ca="1">TblMili[[#This Row],[Non Draft]]+TblMili[[#This Row],[Draftees]]</f>
        <v>842</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0</v>
      </c>
      <c r="V64" s="319">
        <f ca="1">TblMili[[#This Row],[Draft]] * (1 + TblMili[[#This Row],[Mods_Def]])</f>
        <v>842</v>
      </c>
      <c r="W64" s="319">
        <f ca="1">TblConstr[[#This Row],[Land]]</f>
        <v>600</v>
      </c>
      <c r="X64" s="322"/>
      <c r="Y64" s="327">
        <f ca="1">IF(TblMili[[#This Row],[Set]]&lt;&gt;"",TblMili[[#This Row],[Set]],OFFSET(TblMili[[#This Row],[Draftrate]],-1,0))</f>
        <v>0.9</v>
      </c>
      <c r="Z64" s="113">
        <f ca="1">OFFSET(TblMili[[#This Row],[Draftees]],-1,0)+OFFSET(TblPop[[#This Row],[Draft Growth]],-1,0) - SUM(TblMili[[#This Row],[Train Unit 1]:[Train Wiz]]) - TblMili[[#This Row],[Release Draft]] + SUM(TblMili[[#This Row],[Release Unit 1]:[Release Arch]]) -TblExplore[[#This Row],[Draftees (2)]]</f>
        <v>842</v>
      </c>
      <c r="AA64" s="200"/>
      <c r="AB64" s="234">
        <f ca="1">(TblConstr[[#This Row],[Tot Smi]]+TblConstr[[#This Row],[Dest Smi]])/(TblConstr[[#This Row],[Land]]-TblExplore[[#This Row],[Land Bonus]]*20)</f>
        <v>0.18</v>
      </c>
      <c r="AC64" s="318"/>
      <c r="AD64" s="318">
        <f>TblMili[[#This Row],[Hour]]</f>
        <v>61</v>
      </c>
      <c r="AE64" s="179">
        <f ca="1">TblExplore[[#This Row],[Time]]</f>
        <v>44407.249999999854</v>
      </c>
      <c r="AF64" s="232"/>
      <c r="AG64" s="204"/>
      <c r="AH64" s="232">
        <v>125</v>
      </c>
      <c r="AI64" s="204">
        <v>600</v>
      </c>
      <c r="AJ64" s="204">
        <v>10</v>
      </c>
      <c r="AK64" s="204">
        <v>10</v>
      </c>
      <c r="AL64" s="232"/>
      <c r="AM64" s="184"/>
      <c r="AN64" s="113">
        <f ca="1">TblProd[[#This Row],[Platinum]]</f>
        <v>81283</v>
      </c>
      <c r="AO64" s="113">
        <f ca="1">INDEX(TblProd[[#Headers],[Lumber]]:TblProd[[#This Row],[Ore]],COUNTA(TblProd[[#Headers],[Lumber]]:TblProd[[#This Row],[Lumber]]),MATCH(Military!$AO$2,TblProd[[#Headers],[Lumber]:[Ore]],0))</f>
        <v>8400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572000</v>
      </c>
      <c r="AQ64" s="113">
        <f ca="1">TblMili[[#This Row],[Train Unit 1]]*TblMili[[#This Row],[OP Ore]]+TblMili[[#This Row],[Train Unit 2]]*TblMili[[#This Row],[DP Ore]]+TblMili[[#This Row],[Train Unit 3]]*TblMili[[#This Row],[E1 Ore]]+TblMili[[#This Row],[Train Unit 4]]*TblMili[[#This Row],[E2 Ore]]</f>
        <v>44400</v>
      </c>
      <c r="AR64" s="184">
        <f>TblMili[[#This Row],[Hour]]</f>
        <v>61</v>
      </c>
      <c r="AS64" s="198">
        <f ca="1">TblMili[[#This Row],[Time]]</f>
        <v>44407.249999999854</v>
      </c>
      <c r="AT64" s="113">
        <f ca="1">TblMili[[#This Row],[Draftees]]</f>
        <v>842</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176</v>
      </c>
      <c r="BG64" s="113">
        <f ca="1">ROUNDUP(IF(race="Gnome",1,(1-MIN(TblMili[[#This Row],[Smithies]]*smithy_bonus,smithy_bonus_cap) + tech_3_5*TblTech[[#This Row],[3-5]] + tech_5_3*TblTech[[#This Row],[5-3]] + tech_5_5*TblTech[[#This Row],[5-5]]))*spec_op_ore,0)</f>
        <v>16</v>
      </c>
      <c r="BH64" s="113">
        <f ca="1">ROUNDUP((1-MIN(TblMili[[#This Row],[Smithies]]*smithy_bonus,smithy_bonus_cap) + tech_3_5*TblTech[[#This Row],[3-5]] + tech_5_3*TblTech[[#This Row],[5-3]] + tech_5_5*TblTech[[#This Row],[5-5]])*spec_dp_plat,0)</f>
        <v>176</v>
      </c>
      <c r="BI64" s="113">
        <f ca="1">ROUNDUP(IF(race="Gnome",1,(1-MIN(TblMili[[#This Row],[Smithies]]*smithy_bonus,smithy_bonus_cap) + tech_3_5*TblTech[[#This Row],[3-5]] + tech_5_3*TblTech[[#This Row],[5-3]] + tech_5_5*TblTech[[#This Row],[5-5]]))*spec_dp_ore,0)</f>
        <v>10</v>
      </c>
      <c r="BJ64" s="113">
        <f ca="1">ROUNDUP((1-MIN(TblMili[[#This Row],[Smithies]]*smithy_bonus,smithy_bonus_cap) + tech_3_5*TblTech[[#This Row],[3-5]] + tech_5_3*TblTech[[#This Row],[5-3]] + tech_5_5*TblTech[[#This Row],[5-5]])*elite1_plat,0)</f>
        <v>656</v>
      </c>
      <c r="BK64" s="113">
        <f ca="1">ROUNDUP(IF(race="Gnome",1,(1-MIN(TblMili[[#This Row],[Smithies]]*smithy_bonus,smithy_bonus_cap) + tech_3_5*TblTech[[#This Row],[3-5]] + tech_5_3*TblTech[[#This Row],[5-3]] + tech_5_5*TblTech[[#This Row],[5-5]]))*elite1_ore,0)</f>
        <v>48</v>
      </c>
      <c r="BL64" s="113">
        <f ca="1">ROUNDUP((1-MIN(TblMili[[#This Row],[Smithies]]*smithy_bonus,smithy_bonus_cap) + tech_3_5*TblTech[[#This Row],[3-5]] + tech_5_3*TblTech[[#This Row],[5-3]] + tech_5_5*TblTech[[#This Row],[5-5]])*elite2_plat,0)</f>
        <v>800</v>
      </c>
      <c r="BM64" s="113">
        <f ca="1">ROUNDUP(IF(race="Gnome",1,(1-MIN(TblMili[[#This Row],[Smithies]]*smithy_bonus,smithy_bonus_cap) + tech_3_5*TblTech[[#This Row],[3-5]] + tech_5_3*TblTech[[#This Row],[5-3]] + tech_5_5*TblTech[[#This Row],[5-5]]))*elite2_ore,0)</f>
        <v>64</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0.75</v>
      </c>
      <c r="BS64" s="208">
        <f ca="1">TblMili[[#This Row],[WG''s]]</f>
        <v>0</v>
      </c>
      <c r="BT64" s="323">
        <f ca="1">IF(mystic_cap="none",TblMili[[#This Row],[Hill]]/mystic_bonus,MIN(mystic_cap,TblMili[[#This Row],[Hill]]/mystic_bonus))</f>
        <v>3.75</v>
      </c>
      <c r="BU64" s="323">
        <f ca="1">IF(druid_op_cap="none",TblMili[[#This Row],[Hill]]/druid_op_bonus,MIN(druid_op_cap,TblMili[[#This Row],[Hill]]/druid_op_bonus))</f>
        <v>3.75</v>
      </c>
      <c r="BV64" s="323">
        <f ca="1">IF(druid_dp_cap="none",TblMili[[#This Row],[Hill]]/druid_dp_bonus,MIN(druid_dp_cap,TblMili[[#This Row],[Hill]]/druid_dp_bonus))</f>
        <v>3.75</v>
      </c>
      <c r="BW64" s="323">
        <f ca="1">MIN(dryad_cap,TblMili[[#This Row],[Hill]]/dryad_bonus)</f>
        <v>3.75</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3</v>
      </c>
      <c r="CD64" s="59">
        <f ca="1">MIN(ice_elem_cap,TblMili[[#This Row],[Raw (2)]]*ice_elem_bonus)</f>
        <v>4.1666666666666664E-2</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3.95</v>
      </c>
      <c r="CK6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4" s="113">
        <f ca="1">TblMili[[#This Row],[Mystic bonus]]*TblMili[[#This Row],[Unit 3]]+TblMili[[#This Row],[Druid bonus]]*TblMili[[#This Row],[Unit 4]]</f>
        <v>0</v>
      </c>
      <c r="CM64" s="201">
        <f ca="1">MIN(6,TblMili[[#This Row],[Dryad]]+Races!$F$35)*1.8 +  IF(TblMili[[#This Row],[Dryad]]+Races!$F$35&gt;6,(TblMili[[#This Row],[Dryad]]+Races!$F$35-6)*0.2,0) - Races!$I$19</f>
        <v>3.7500000000000009</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5.4</v>
      </c>
      <c r="CT64" s="201">
        <f ca="1">1.8 * MIN(MAX(TblMili[[#This Row],[Ice Elemental]]+Races!$E$71,Races!$F$71),6)  +  0.45 * MIN(MIN(TblMili[[#This Row],[Ice Elemental]]+Races!$E$71,Races!$F$71),6)  +  0.2 * ( MAX(TblMili[[#This Row],[Ice Elemental]]+Races!$E$71-6,0) + MAX(Races!$F$71-6,0) )  -  Races!$I$71</f>
        <v>7.4999999999999289E-2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15175</v>
      </c>
      <c r="CZ64" s="184"/>
      <c r="DA64" s="326">
        <f ca="1">(TblMili[[#This Row],[Wizards]]+2*TblMili[[#This Row],[Archmages]])/TblConstr[[#This Row],[Land]]</f>
        <v>4.1666666666666664E-2</v>
      </c>
      <c r="DB64" s="326">
        <f ca="1">TblMili[[#This Row],[Raw (2)]]*(1+race_wizard_strength+IF(TblMili[[#This Row],[Hour]]&gt;72,tech_magical_weaponry_wiz*TblTech[[#This Row],[3-5]],0))</f>
        <v>4.1666666666666664E-2</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1718</v>
      </c>
      <c r="C65" s="203">
        <f ca="1">TblPop[[#This Row],[Military%]]</f>
        <v>0.17432775240994419</v>
      </c>
      <c r="D65" s="184"/>
      <c r="E65" s="49">
        <f ca="1">OFFSET(TblMili[[#This Row],[Unit 1]],-1,0) + OFFSET(TblMili[[#This Row],[Train Unit 1]],-9,0) - TblMili[[#This Row],[Release Unit 1]]</f>
        <v>0</v>
      </c>
      <c r="F65" s="49">
        <f ca="1">OFFSET(TblMili[[#This Row],[Unit 2]],-1,0) + OFFSET(TblMili[[#This Row],[Train Unit 2]],-9,0)-TblMili[[#This Row],[Release Unit 2]]</f>
        <v>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15215</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5" s="319">
        <f ca="1">TblMili[[#This Row],[Non Draft]]+TblMili[[#This Row],[Draftees]]</f>
        <v>923</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0</v>
      </c>
      <c r="V65" s="319">
        <f ca="1">TblMili[[#This Row],[Draft]] * (1 + TblMili[[#This Row],[Mods_Def]])</f>
        <v>923</v>
      </c>
      <c r="W65" s="319">
        <f ca="1">TblConstr[[#This Row],[Land]]</f>
        <v>600</v>
      </c>
      <c r="X65" s="322"/>
      <c r="Y65" s="327">
        <f ca="1">IF(TblMili[[#This Row],[Set]]&lt;&gt;"",TblMili[[#This Row],[Set]],OFFSET(TblMili[[#This Row],[Draftrate]],-1,0))</f>
        <v>0.9</v>
      </c>
      <c r="Z65" s="113">
        <f ca="1">OFFSET(TblMili[[#This Row],[Draftees]],-1,0)+OFFSET(TblPop[[#This Row],[Draft Growth]],-1,0) - SUM(TblMili[[#This Row],[Train Unit 1]:[Train Wiz]]) - TblMili[[#This Row],[Release Draft]] + SUM(TblMili[[#This Row],[Release Unit 1]:[Release Arch]]) -TblExplore[[#This Row],[Draftees (2)]]</f>
        <v>923</v>
      </c>
      <c r="AA65" s="200"/>
      <c r="AB65" s="234">
        <f ca="1">(TblConstr[[#This Row],[Tot Smi]]+TblConstr[[#This Row],[Dest Smi]])/(TblConstr[[#This Row],[Land]]-TblExplore[[#This Row],[Land Bonus]]*20)</f>
        <v>0.18</v>
      </c>
      <c r="AC65" s="178"/>
      <c r="AD65" s="318">
        <f>TblMili[[#This Row],[Hour]]</f>
        <v>62</v>
      </c>
      <c r="AE65" s="179">
        <f ca="1">TblExplore[[#This Row],[Time]]</f>
        <v>44407.291666666519</v>
      </c>
      <c r="AF65" s="204"/>
      <c r="AG65" s="232"/>
      <c r="AH65" s="232"/>
      <c r="AI65" s="232"/>
      <c r="AJ65" s="232"/>
      <c r="AK65" s="232"/>
      <c r="AL65" s="232"/>
      <c r="AM65" s="184"/>
      <c r="AN65" s="113">
        <f ca="1">TblProd[[#This Row],[Platinum]]</f>
        <v>118393</v>
      </c>
      <c r="AO65" s="113">
        <f ca="1">INDEX(TblProd[[#Headers],[Lumber]]:TblProd[[#This Row],[Ore]],COUNTA(TblProd[[#Headers],[Lumber]]:TblProd[[#This Row],[Lumber]]),MATCH(Military!$AO$2,TblProd[[#Headers],[Lumber]:[Ore]],0))</f>
        <v>10200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44407.291666666519</v>
      </c>
      <c r="AT65" s="113">
        <f ca="1">TblMili[[#This Row],[Draftees]]</f>
        <v>923</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176</v>
      </c>
      <c r="BG65" s="113">
        <f ca="1">ROUNDUP(IF(race="Gnome",1,(1-MIN(TblMili[[#This Row],[Smithies]]*smithy_bonus,smithy_bonus_cap) + tech_3_5*TblTech[[#This Row],[3-5]] + tech_5_3*TblTech[[#This Row],[5-3]] + tech_5_5*TblTech[[#This Row],[5-5]]))*spec_op_ore,0)</f>
        <v>16</v>
      </c>
      <c r="BH65" s="113">
        <f ca="1">ROUNDUP((1-MIN(TblMili[[#This Row],[Smithies]]*smithy_bonus,smithy_bonus_cap) + tech_3_5*TblTech[[#This Row],[3-5]] + tech_5_3*TblTech[[#This Row],[5-3]] + tech_5_5*TblTech[[#This Row],[5-5]])*spec_dp_plat,0)</f>
        <v>176</v>
      </c>
      <c r="BI65" s="113">
        <f ca="1">ROUNDUP(IF(race="Gnome",1,(1-MIN(TblMili[[#This Row],[Smithies]]*smithy_bonus,smithy_bonus_cap) + tech_3_5*TblTech[[#This Row],[3-5]] + tech_5_3*TblTech[[#This Row],[5-3]] + tech_5_5*TblTech[[#This Row],[5-5]]))*spec_dp_ore,0)</f>
        <v>10</v>
      </c>
      <c r="BJ65" s="113">
        <f ca="1">ROUNDUP((1-MIN(TblMili[[#This Row],[Smithies]]*smithy_bonus,smithy_bonus_cap) + tech_3_5*TblTech[[#This Row],[3-5]] + tech_5_3*TblTech[[#This Row],[5-3]] + tech_5_5*TblTech[[#This Row],[5-5]])*elite1_plat,0)</f>
        <v>656</v>
      </c>
      <c r="BK65" s="113">
        <f ca="1">ROUNDUP(IF(race="Gnome",1,(1-MIN(TblMili[[#This Row],[Smithies]]*smithy_bonus,smithy_bonus_cap) + tech_3_5*TblTech[[#This Row],[3-5]] + tech_5_3*TblTech[[#This Row],[5-3]] + tech_5_5*TblTech[[#This Row],[5-5]]))*elite1_ore,0)</f>
        <v>48</v>
      </c>
      <c r="BL65" s="113">
        <f ca="1">ROUNDUP((1-MIN(TblMili[[#This Row],[Smithies]]*smithy_bonus,smithy_bonus_cap) + tech_3_5*TblTech[[#This Row],[3-5]] + tech_5_3*TblTech[[#This Row],[5-3]] + tech_5_5*TblTech[[#This Row],[5-5]])*elite2_plat,0)</f>
        <v>800</v>
      </c>
      <c r="BM65" s="113">
        <f ca="1">ROUNDUP(IF(race="Gnome",1,(1-MIN(TblMili[[#This Row],[Smithies]]*smithy_bonus,smithy_bonus_cap) + tech_3_5*TblTech[[#This Row],[3-5]] + tech_5_3*TblTech[[#This Row],[5-3]] + tech_5_5*TblTech[[#This Row],[5-5]]))*elite2_ore,0)</f>
        <v>64</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0.75</v>
      </c>
      <c r="BS65" s="208">
        <f ca="1">TblMili[[#This Row],[WG''s]]</f>
        <v>0</v>
      </c>
      <c r="BT65" s="323">
        <f ca="1">IF(mystic_cap="none",TblMili[[#This Row],[Hill]]/mystic_bonus,MIN(mystic_cap,TblMili[[#This Row],[Hill]]/mystic_bonus))</f>
        <v>3.75</v>
      </c>
      <c r="BU65" s="323">
        <f ca="1">IF(druid_op_cap="none",TblMili[[#This Row],[Hill]]/druid_op_bonus,MIN(druid_op_cap,TblMili[[#This Row],[Hill]]/druid_op_bonus))</f>
        <v>3.75</v>
      </c>
      <c r="BV65" s="323">
        <f ca="1">IF(druid_dp_cap="none",TblMili[[#This Row],[Hill]]/druid_dp_bonus,MIN(druid_dp_cap,TblMili[[#This Row],[Hill]]/druid_dp_bonus))</f>
        <v>3.75</v>
      </c>
      <c r="BW65" s="323">
        <f ca="1">MIN(dryad_cap,TblMili[[#This Row],[Hill]]/dryad_bonus)</f>
        <v>3.75</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3</v>
      </c>
      <c r="CD65" s="59">
        <f ca="1">MIN(ice_elem_cap,TblMili[[#This Row],[Raw (2)]]*ice_elem_bonus)</f>
        <v>4.1666666666666664E-2</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3.95</v>
      </c>
      <c r="CK6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5" s="113">
        <f ca="1">TblMili[[#This Row],[Mystic bonus]]*TblMili[[#This Row],[Unit 3]]+TblMili[[#This Row],[Druid bonus]]*TblMili[[#This Row],[Unit 4]]</f>
        <v>0</v>
      </c>
      <c r="CM65" s="201">
        <f ca="1">MIN(6,TblMili[[#This Row],[Dryad]]+Races!$F$35)*1.8 +  IF(TblMili[[#This Row],[Dryad]]+Races!$F$35&gt;6,(TblMili[[#This Row],[Dryad]]+Races!$F$35-6)*0.2,0) - Races!$I$19</f>
        <v>3.7500000000000009</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5.4</v>
      </c>
      <c r="CT65" s="201">
        <f ca="1">1.8 * MIN(MAX(TblMili[[#This Row],[Ice Elemental]]+Races!$E$71,Races!$F$71),6)  +  0.45 * MIN(MIN(TblMili[[#This Row],[Ice Elemental]]+Races!$E$71,Races!$F$71),6)  +  0.2 * ( MAX(TblMili[[#This Row],[Ice Elemental]]+Races!$E$71-6,0) + MAX(Races!$F$71-6,0) )  -  Races!$I$71</f>
        <v>7.4999999999999289E-2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15215</v>
      </c>
      <c r="CZ65" s="184"/>
      <c r="DA65" s="326">
        <f ca="1">(TblMili[[#This Row],[Wizards]]+2*TblMili[[#This Row],[Archmages]])/TblConstr[[#This Row],[Land]]</f>
        <v>4.1666666666666664E-2</v>
      </c>
      <c r="DB65" s="326">
        <f ca="1">TblMili[[#This Row],[Raw (2)]]*(1+race_wizard_strength+IF(TblMili[[#This Row],[Hour]]&gt;72,tech_magical_weaponry_wiz*TblTech[[#This Row],[3-5]],0))</f>
        <v>4.1666666666666664E-2</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1799</v>
      </c>
      <c r="C66" s="203">
        <f ca="1">TblPop[[#This Row],[Military%]]</f>
        <v>0.18056810197731607</v>
      </c>
      <c r="D66" s="184"/>
      <c r="E66" s="49">
        <f ca="1">OFFSET(TblMili[[#This Row],[Unit 1]],-1,0) + OFFSET(TblMili[[#This Row],[Train Unit 1]],-9,0) - TblMili[[#This Row],[Release Unit 1]]</f>
        <v>0</v>
      </c>
      <c r="F66" s="49">
        <f ca="1">OFFSET(TblMili[[#This Row],[Unit 2]],-1,0) + OFFSET(TblMili[[#This Row],[Train Unit 2]],-9,0)-TblMili[[#This Row],[Release Unit 2]]</f>
        <v>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15250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6" s="319">
        <f ca="1">TblMili[[#This Row],[Non Draft]]+TblMili[[#This Row],[Draftees]]</f>
        <v>1004</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0</v>
      </c>
      <c r="V66" s="319">
        <f ca="1">TblMili[[#This Row],[Draft]] * (1 + TblMili[[#This Row],[Mods_Def]])</f>
        <v>1004</v>
      </c>
      <c r="W66" s="319">
        <f ca="1">TblConstr[[#This Row],[Land]]</f>
        <v>600</v>
      </c>
      <c r="X66" s="322"/>
      <c r="Y66" s="327">
        <f ca="1">IF(TblMili[[#This Row],[Set]]&lt;&gt;"",TblMili[[#This Row],[Set]],OFFSET(TblMili[[#This Row],[Draftrate]],-1,0))</f>
        <v>0.9</v>
      </c>
      <c r="Z66" s="113">
        <f ca="1">OFFSET(TblMili[[#This Row],[Draftees]],-1,0)+OFFSET(TblPop[[#This Row],[Draft Growth]],-1,0) - SUM(TblMili[[#This Row],[Train Unit 1]:[Train Wiz]]) - TblMili[[#This Row],[Release Draft]] + SUM(TblMili[[#This Row],[Release Unit 1]:[Release Arch]]) -TblExplore[[#This Row],[Draftees (2)]]</f>
        <v>1004</v>
      </c>
      <c r="AA66" s="200"/>
      <c r="AB66" s="234">
        <f ca="1">(TblConstr[[#This Row],[Tot Smi]]+TblConstr[[#This Row],[Dest Smi]])/(TblConstr[[#This Row],[Land]]-TblExplore[[#This Row],[Land Bonus]]*20)</f>
        <v>0.18</v>
      </c>
      <c r="AC66" s="178"/>
      <c r="AD66" s="318">
        <f>TblMili[[#This Row],[Hour]]</f>
        <v>63</v>
      </c>
      <c r="AE66" s="179">
        <f ca="1">TblExplore[[#This Row],[Time]]</f>
        <v>44407.333333333183</v>
      </c>
      <c r="AF66" s="232"/>
      <c r="AG66" s="232"/>
      <c r="AH66" s="232"/>
      <c r="AI66" s="232"/>
      <c r="AJ66" s="232"/>
      <c r="AK66" s="232"/>
      <c r="AL66" s="232"/>
      <c r="AM66" s="184"/>
      <c r="AN66" s="113">
        <f ca="1">TblProd[[#This Row],[Platinum]]</f>
        <v>155627</v>
      </c>
      <c r="AO66" s="113">
        <f ca="1">INDEX(TblProd[[#Headers],[Lumber]]:TblProd[[#This Row],[Ore]],COUNTA(TblProd[[#Headers],[Lumber]]:TblProd[[#This Row],[Lumber]]),MATCH(Military!$AO$2,TblProd[[#Headers],[Lumber]:[Ore]],0))</f>
        <v>12000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44407.333333333183</v>
      </c>
      <c r="AT66" s="113">
        <f ca="1">TblMili[[#This Row],[Draftees]]</f>
        <v>1004</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176</v>
      </c>
      <c r="BG66" s="113">
        <f ca="1">ROUNDUP(IF(race="Gnome",1,(1-MIN(TblMili[[#This Row],[Smithies]]*smithy_bonus,smithy_bonus_cap) + tech_3_5*TblTech[[#This Row],[3-5]] + tech_5_3*TblTech[[#This Row],[5-3]] + tech_5_5*TblTech[[#This Row],[5-5]]))*spec_op_ore,0)</f>
        <v>16</v>
      </c>
      <c r="BH66" s="113">
        <f ca="1">ROUNDUP((1-MIN(TblMili[[#This Row],[Smithies]]*smithy_bonus,smithy_bonus_cap) + tech_3_5*TblTech[[#This Row],[3-5]] + tech_5_3*TblTech[[#This Row],[5-3]] + tech_5_5*TblTech[[#This Row],[5-5]])*spec_dp_plat,0)</f>
        <v>176</v>
      </c>
      <c r="BI66" s="113">
        <f ca="1">ROUNDUP(IF(race="Gnome",1,(1-MIN(TblMili[[#This Row],[Smithies]]*smithy_bonus,smithy_bonus_cap) + tech_3_5*TblTech[[#This Row],[3-5]] + tech_5_3*TblTech[[#This Row],[5-3]] + tech_5_5*TblTech[[#This Row],[5-5]]))*spec_dp_ore,0)</f>
        <v>10</v>
      </c>
      <c r="BJ66" s="113">
        <f ca="1">ROUNDUP((1-MIN(TblMili[[#This Row],[Smithies]]*smithy_bonus,smithy_bonus_cap) + tech_3_5*TblTech[[#This Row],[3-5]] + tech_5_3*TblTech[[#This Row],[5-3]] + tech_5_5*TblTech[[#This Row],[5-5]])*elite1_plat,0)</f>
        <v>656</v>
      </c>
      <c r="BK66" s="113">
        <f ca="1">ROUNDUP(IF(race="Gnome",1,(1-MIN(TblMili[[#This Row],[Smithies]]*smithy_bonus,smithy_bonus_cap) + tech_3_5*TblTech[[#This Row],[3-5]] + tech_5_3*TblTech[[#This Row],[5-3]] + tech_5_5*TblTech[[#This Row],[5-5]]))*elite1_ore,0)</f>
        <v>48</v>
      </c>
      <c r="BL66" s="113">
        <f ca="1">ROUNDUP((1-MIN(TblMili[[#This Row],[Smithies]]*smithy_bonus,smithy_bonus_cap) + tech_3_5*TblTech[[#This Row],[3-5]] + tech_5_3*TblTech[[#This Row],[5-3]] + tech_5_5*TblTech[[#This Row],[5-5]])*elite2_plat,0)</f>
        <v>800</v>
      </c>
      <c r="BM66" s="113">
        <f ca="1">ROUNDUP(IF(race="Gnome",1,(1-MIN(TblMili[[#This Row],[Smithies]]*smithy_bonus,smithy_bonus_cap) + tech_3_5*TblTech[[#This Row],[3-5]] + tech_5_3*TblTech[[#This Row],[5-3]] + tech_5_5*TblTech[[#This Row],[5-5]]))*elite2_ore,0)</f>
        <v>64</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0.75</v>
      </c>
      <c r="BS66" s="208">
        <f ca="1">TblMili[[#This Row],[WG''s]]</f>
        <v>0</v>
      </c>
      <c r="BT66" s="323">
        <f ca="1">IF(mystic_cap="none",TblMili[[#This Row],[Hill]]/mystic_bonus,MIN(mystic_cap,TblMili[[#This Row],[Hill]]/mystic_bonus))</f>
        <v>3.75</v>
      </c>
      <c r="BU66" s="323">
        <f ca="1">IF(druid_op_cap="none",TblMili[[#This Row],[Hill]]/druid_op_bonus,MIN(druid_op_cap,TblMili[[#This Row],[Hill]]/druid_op_bonus))</f>
        <v>3.75</v>
      </c>
      <c r="BV66" s="323">
        <f ca="1">IF(druid_dp_cap="none",TblMili[[#This Row],[Hill]]/druid_dp_bonus,MIN(druid_dp_cap,TblMili[[#This Row],[Hill]]/druid_dp_bonus))</f>
        <v>3.75</v>
      </c>
      <c r="BW66" s="323">
        <f ca="1">MIN(dryad_cap,TblMili[[#This Row],[Hill]]/dryad_bonus)</f>
        <v>3.75</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3</v>
      </c>
      <c r="CD66" s="59">
        <f ca="1">MIN(ice_elem_cap,TblMili[[#This Row],[Raw (2)]]*ice_elem_bonus)</f>
        <v>4.1666666666666664E-2</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3.95</v>
      </c>
      <c r="CK6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6" s="113">
        <f ca="1">TblMili[[#This Row],[Mystic bonus]]*TblMili[[#This Row],[Unit 3]]+TblMili[[#This Row],[Druid bonus]]*TblMili[[#This Row],[Unit 4]]</f>
        <v>0</v>
      </c>
      <c r="CM66" s="201">
        <f ca="1">MIN(6,TblMili[[#This Row],[Dryad]]+Races!$F$35)*1.8 +  IF(TblMili[[#This Row],[Dryad]]+Races!$F$35&gt;6,(TblMili[[#This Row],[Dryad]]+Races!$F$35-6)*0.2,0) - Races!$I$19</f>
        <v>3.7500000000000009</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5.4</v>
      </c>
      <c r="CT66" s="201">
        <f ca="1">1.8 * MIN(MAX(TblMili[[#This Row],[Ice Elemental]]+Races!$E$71,Races!$F$71),6)  +  0.45 * MIN(MIN(TblMili[[#This Row],[Ice Elemental]]+Races!$E$71,Races!$F$71),6)  +  0.2 * ( MAX(TblMili[[#This Row],[Ice Elemental]]+Races!$E$71-6,0) + MAX(Races!$F$71-6,0) )  -  Races!$I$71</f>
        <v>7.4999999999999289E-2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6" s="184"/>
      <c r="DA66" s="326">
        <f ca="1">(TblMili[[#This Row],[Wizards]]+2*TblMili[[#This Row],[Archmages]])/TblConstr[[#This Row],[Land]]</f>
        <v>4.1666666666666664E-2</v>
      </c>
      <c r="DB66" s="326">
        <f ca="1">TblMili[[#This Row],[Raw (2)]]*(1+race_wizard_strength+IF(TblMili[[#This Row],[Hour]]&gt;72,tech_magical_weaponry_wiz*TblTech[[#This Row],[3-5]],0))</f>
        <v>4.1666666666666664E-2</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1881</v>
      </c>
      <c r="C67" s="203">
        <f ca="1">TblPop[[#This Row],[Military%]]</f>
        <v>0.18879855465221318</v>
      </c>
      <c r="D67" s="184"/>
      <c r="E67" s="49">
        <f ca="1">OFFSET(TblMili[[#This Row],[Unit 1]],-1,0) + OFFSET(TblMili[[#This Row],[Train Unit 1]],-9,0) - TblMili[[#This Row],[Release Unit 1]]</f>
        <v>0</v>
      </c>
      <c r="F67" s="49">
        <f ca="1">OFFSET(TblMili[[#This Row],[Unit 2]],-1,0) + OFFSET(TblMili[[#This Row],[Train Unit 2]],-9,0)-TblMili[[#This Row],[Release Unit 2]]</f>
        <v>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15250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7" s="319">
        <f ca="1">TblMili[[#This Row],[Non Draft]]+TblMili[[#This Row],[Draftees]]</f>
        <v>5</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0</v>
      </c>
      <c r="V67" s="319">
        <f ca="1">TblMili[[#This Row],[Draft]] * (1 + TblMili[[#This Row],[Mods_Def]])</f>
        <v>5</v>
      </c>
      <c r="W67" s="319">
        <f ca="1">TblConstr[[#This Row],[Land]]</f>
        <v>600</v>
      </c>
      <c r="X67" s="322"/>
      <c r="Y67" s="327">
        <f ca="1">IF(TblMili[[#This Row],[Set]]&lt;&gt;"",TblMili[[#This Row],[Set]],OFFSET(TblMili[[#This Row],[Draftrate]],-1,0))</f>
        <v>0.9</v>
      </c>
      <c r="Z67" s="113">
        <f ca="1">OFFSET(TblMili[[#This Row],[Draftees]],-1,0)+OFFSET(TblPop[[#This Row],[Draft Growth]],-1,0) - SUM(TblMili[[#This Row],[Train Unit 1]:[Train Wiz]]) - TblMili[[#This Row],[Release Draft]] + SUM(TblMili[[#This Row],[Release Unit 1]:[Release Arch]]) -TblExplore[[#This Row],[Draftees (2)]]</f>
        <v>5</v>
      </c>
      <c r="AA67" s="200"/>
      <c r="AB67" s="234">
        <f ca="1">(TblConstr[[#This Row],[Tot Smi]]+TblConstr[[#This Row],[Dest Smi]])/(TblConstr[[#This Row],[Land]]-TblExplore[[#This Row],[Land Bonus]]*20)</f>
        <v>0.18</v>
      </c>
      <c r="AC67" s="178"/>
      <c r="AD67" s="318">
        <f>TblMili[[#This Row],[Hour]]</f>
        <v>64</v>
      </c>
      <c r="AE67" s="179">
        <f ca="1">TblExplore[[#This Row],[Time]]</f>
        <v>44407.374999999847</v>
      </c>
      <c r="AF67" s="204"/>
      <c r="AG67" s="204">
        <f>1206-AH64</f>
        <v>1081</v>
      </c>
      <c r="AH67" s="232"/>
      <c r="AI67" s="232"/>
      <c r="AJ67" s="232"/>
      <c r="AK67" s="232"/>
      <c r="AL67" s="232"/>
      <c r="AM67" s="184"/>
      <c r="AN67" s="113">
        <f ca="1">TblProd[[#This Row],[Platinum]]</f>
        <v>2686</v>
      </c>
      <c r="AO67" s="113">
        <f ca="1">INDEX(TblProd[[#Headers],[Lumber]]:TblProd[[#This Row],[Ore]],COUNTA(TblProd[[#Headers],[Lumber]]:TblProd[[#This Row],[Lumber]]),MATCH(Military!$AO$2,TblProd[[#Headers],[Lumber]:[Ore]],0))</f>
        <v>2990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190256</v>
      </c>
      <c r="AQ67" s="113">
        <f ca="1">TblMili[[#This Row],[Train Unit 1]]*TblMili[[#This Row],[OP Ore]]+TblMili[[#This Row],[Train Unit 2]]*TblMili[[#This Row],[DP Ore]]+TblMili[[#This Row],[Train Unit 3]]*TblMili[[#This Row],[E1 Ore]]+TblMili[[#This Row],[Train Unit 4]]*TblMili[[#This Row],[E2 Ore]]</f>
        <v>10810</v>
      </c>
      <c r="AR67" s="184">
        <f>TblMili[[#This Row],[Hour]]</f>
        <v>64</v>
      </c>
      <c r="AS67" s="198">
        <f ca="1">TblMili[[#This Row],[Time]]</f>
        <v>44407.374999999847</v>
      </c>
      <c r="AT67" s="113">
        <f ca="1">TblMili[[#This Row],[Draftees]]</f>
        <v>5</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176</v>
      </c>
      <c r="BG67" s="113">
        <f ca="1">ROUNDUP(IF(race="Gnome",1,(1-MIN(TblMili[[#This Row],[Smithies]]*smithy_bonus,smithy_bonus_cap) + tech_3_5*TblTech[[#This Row],[3-5]] + tech_5_3*TblTech[[#This Row],[5-3]] + tech_5_5*TblTech[[#This Row],[5-5]]))*spec_op_ore,0)</f>
        <v>16</v>
      </c>
      <c r="BH67" s="113">
        <f ca="1">ROUNDUP((1-MIN(TblMili[[#This Row],[Smithies]]*smithy_bonus,smithy_bonus_cap) + tech_3_5*TblTech[[#This Row],[3-5]] + tech_5_3*TblTech[[#This Row],[5-3]] + tech_5_5*TblTech[[#This Row],[5-5]])*spec_dp_plat,0)</f>
        <v>176</v>
      </c>
      <c r="BI67" s="113">
        <f ca="1">ROUNDUP(IF(race="Gnome",1,(1-MIN(TblMili[[#This Row],[Smithies]]*smithy_bonus,smithy_bonus_cap) + tech_3_5*TblTech[[#This Row],[3-5]] + tech_5_3*TblTech[[#This Row],[5-3]] + tech_5_5*TblTech[[#This Row],[5-5]]))*spec_dp_ore,0)</f>
        <v>10</v>
      </c>
      <c r="BJ67" s="113">
        <f ca="1">ROUNDUP((1-MIN(TblMili[[#This Row],[Smithies]]*smithy_bonus,smithy_bonus_cap) + tech_3_5*TblTech[[#This Row],[3-5]] + tech_5_3*TblTech[[#This Row],[5-3]] + tech_5_5*TblTech[[#This Row],[5-5]])*elite1_plat,0)</f>
        <v>656</v>
      </c>
      <c r="BK67" s="113">
        <f ca="1">ROUNDUP(IF(race="Gnome",1,(1-MIN(TblMili[[#This Row],[Smithies]]*smithy_bonus,smithy_bonus_cap) + tech_3_5*TblTech[[#This Row],[3-5]] + tech_5_3*TblTech[[#This Row],[5-3]] + tech_5_5*TblTech[[#This Row],[5-5]]))*elite1_ore,0)</f>
        <v>48</v>
      </c>
      <c r="BL67" s="113">
        <f ca="1">ROUNDUP((1-MIN(TblMili[[#This Row],[Smithies]]*smithy_bonus,smithy_bonus_cap) + tech_3_5*TblTech[[#This Row],[3-5]] + tech_5_3*TblTech[[#This Row],[5-3]] + tech_5_5*TblTech[[#This Row],[5-5]])*elite2_plat,0)</f>
        <v>800</v>
      </c>
      <c r="BM67" s="113">
        <f ca="1">ROUNDUP(IF(race="Gnome",1,(1-MIN(TblMili[[#This Row],[Smithies]]*smithy_bonus,smithy_bonus_cap) + tech_3_5*TblTech[[#This Row],[3-5]] + tech_5_3*TblTech[[#This Row],[5-3]] + tech_5_5*TblTech[[#This Row],[5-5]]))*elite2_ore,0)</f>
        <v>64</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0.75</v>
      </c>
      <c r="BS67" s="208">
        <f ca="1">TblMili[[#This Row],[WG''s]]</f>
        <v>0</v>
      </c>
      <c r="BT67" s="323">
        <f ca="1">IF(mystic_cap="none",TblMili[[#This Row],[Hill]]/mystic_bonus,MIN(mystic_cap,TblMili[[#This Row],[Hill]]/mystic_bonus))</f>
        <v>3.75</v>
      </c>
      <c r="BU67" s="323">
        <f ca="1">IF(druid_op_cap="none",TblMili[[#This Row],[Hill]]/druid_op_bonus,MIN(druid_op_cap,TblMili[[#This Row],[Hill]]/druid_op_bonus))</f>
        <v>3.75</v>
      </c>
      <c r="BV67" s="323">
        <f ca="1">IF(druid_dp_cap="none",TblMili[[#This Row],[Hill]]/druid_dp_bonus,MIN(druid_dp_cap,TblMili[[#This Row],[Hill]]/druid_dp_bonus))</f>
        <v>3.75</v>
      </c>
      <c r="BW67" s="323">
        <f ca="1">MIN(dryad_cap,TblMili[[#This Row],[Hill]]/dryad_bonus)</f>
        <v>3.75</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3</v>
      </c>
      <c r="CD67" s="59">
        <f ca="1">MIN(ice_elem_cap,TblMili[[#This Row],[Raw (2)]]*ice_elem_bonus)</f>
        <v>4.1666666666666664E-2</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3.95</v>
      </c>
      <c r="CK6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7" s="113">
        <f ca="1">TblMili[[#This Row],[Mystic bonus]]*TblMili[[#This Row],[Unit 3]]+TblMili[[#This Row],[Druid bonus]]*TblMili[[#This Row],[Unit 4]]</f>
        <v>0</v>
      </c>
      <c r="CM67" s="201">
        <f ca="1">MIN(6,TblMili[[#This Row],[Dryad]]+Races!$F$35)*1.8 +  IF(TblMili[[#This Row],[Dryad]]+Races!$F$35&gt;6,(TblMili[[#This Row],[Dryad]]+Races!$F$35-6)*0.2,0) - Races!$I$19</f>
        <v>3.7500000000000009</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5.4</v>
      </c>
      <c r="CT67" s="201">
        <f ca="1">1.8 * MIN(MAX(TblMili[[#This Row],[Ice Elemental]]+Races!$E$71,Races!$F$71),6)  +  0.45 * MIN(MIN(TblMili[[#This Row],[Ice Elemental]]+Races!$E$71,Races!$F$71),6)  +  0.2 * ( MAX(TblMili[[#This Row],[Ice Elemental]]+Races!$E$71-6,0) + MAX(Races!$F$71-6,0) )  -  Races!$I$71</f>
        <v>7.4999999999999289E-2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7" s="184"/>
      <c r="DA67" s="326">
        <f ca="1">(TblMili[[#This Row],[Wizards]]+2*TblMili[[#This Row],[Archmages]])/TblConstr[[#This Row],[Land]]</f>
        <v>4.1666666666666664E-2</v>
      </c>
      <c r="DB67" s="326">
        <f ca="1">TblMili[[#This Row],[Raw (2)]]*(1+race_wizard_strength+IF(TblMili[[#This Row],[Hour]]&gt;72,tech_magical_weaponry_wiz*TblTech[[#This Row],[3-5]],0))</f>
        <v>4.1666666666666664E-2</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1962</v>
      </c>
      <c r="C68" s="203">
        <f ca="1">TblPop[[#This Row],[Military%]]</f>
        <v>0.1969286359530262</v>
      </c>
      <c r="D68" s="184"/>
      <c r="E68" s="49">
        <f ca="1">OFFSET(TblMili[[#This Row],[Unit 1]],-1,0) + OFFSET(TblMili[[#This Row],[Train Unit 1]],-9,0) - TblMili[[#This Row],[Release Unit 1]]</f>
        <v>0</v>
      </c>
      <c r="F68" s="49">
        <f ca="1">OFFSET(TblMili[[#This Row],[Unit 2]],-1,0) + OFFSET(TblMili[[#This Row],[Train Unit 2]],-9,0)-TblMili[[#This Row],[Release Unit 2]]</f>
        <v>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15250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8" s="319">
        <f ca="1">TblMili[[#This Row],[Non Draft]]+TblMili[[#This Row],[Draftees]]</f>
        <v>86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0</v>
      </c>
      <c r="V68" s="319">
        <f ca="1">TblMili[[#This Row],[Draft]] * (1 + TblMili[[#This Row],[Mods_Def]])</f>
        <v>86</v>
      </c>
      <c r="W68" s="319">
        <f ca="1">TblConstr[[#This Row],[Land]]</f>
        <v>600</v>
      </c>
      <c r="X68" s="322"/>
      <c r="Y68" s="327">
        <f ca="1">IF(TblMili[[#This Row],[Set]]&lt;&gt;"",TblMili[[#This Row],[Set]],OFFSET(TblMili[[#This Row],[Draftrate]],-1,0))</f>
        <v>0.9</v>
      </c>
      <c r="Z68" s="113">
        <f ca="1">OFFSET(TblMili[[#This Row],[Draftees]],-1,0)+OFFSET(TblPop[[#This Row],[Draft Growth]],-1,0) - SUM(TblMili[[#This Row],[Train Unit 1]:[Train Wiz]]) - TblMili[[#This Row],[Release Draft]] + SUM(TblMili[[#This Row],[Release Unit 1]:[Release Arch]]) -TblExplore[[#This Row],[Draftees (2)]]</f>
        <v>86</v>
      </c>
      <c r="AA68" s="200"/>
      <c r="AB68" s="234">
        <f ca="1">(TblConstr[[#This Row],[Tot Smi]]+TblConstr[[#This Row],[Dest Smi]])/(TblConstr[[#This Row],[Land]]-TblExplore[[#This Row],[Land Bonus]]*20)</f>
        <v>0.18</v>
      </c>
      <c r="AC68" s="178"/>
      <c r="AD68" s="318">
        <f>TblMili[[#This Row],[Hour]]</f>
        <v>65</v>
      </c>
      <c r="AE68" s="179">
        <f ca="1">TblExplore[[#This Row],[Time]]</f>
        <v>44407.416666666511</v>
      </c>
      <c r="AF68" s="204"/>
      <c r="AG68" s="204"/>
      <c r="AH68" s="232"/>
      <c r="AI68" s="232"/>
      <c r="AJ68" s="232"/>
      <c r="AK68" s="232"/>
      <c r="AL68" s="232"/>
      <c r="AM68" s="184"/>
      <c r="AN68" s="113">
        <f ca="1">TblProd[[#This Row],[Platinum]]</f>
        <v>39757</v>
      </c>
      <c r="AO68" s="113">
        <f ca="1">INDEX(TblProd[[#Headers],[Lumber]]:TblProd[[#This Row],[Ore]],COUNTA(TblProd[[#Headers],[Lumber]]:TblProd[[#This Row],[Lumber]]),MATCH(Military!$AO$2,TblProd[[#Headers],[Lumber]:[Ore]],0))</f>
        <v>4790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44407.416666666511</v>
      </c>
      <c r="AT68" s="113">
        <f ca="1">TblMili[[#This Row],[Draftees]]</f>
        <v>86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176</v>
      </c>
      <c r="BG68" s="113">
        <f ca="1">ROUNDUP(IF(race="Gnome",1,(1-MIN(TblMili[[#This Row],[Smithies]]*smithy_bonus,smithy_bonus_cap) + tech_3_5*TblTech[[#This Row],[3-5]] + tech_5_3*TblTech[[#This Row],[5-3]] + tech_5_5*TblTech[[#This Row],[5-5]]))*spec_op_ore,0)</f>
        <v>16</v>
      </c>
      <c r="BH68" s="113">
        <f ca="1">ROUNDUP((1-MIN(TblMili[[#This Row],[Smithies]]*smithy_bonus,smithy_bonus_cap) + tech_3_5*TblTech[[#This Row],[3-5]] + tech_5_3*TblTech[[#This Row],[5-3]] + tech_5_5*TblTech[[#This Row],[5-5]])*spec_dp_plat,0)</f>
        <v>176</v>
      </c>
      <c r="BI68" s="113">
        <f ca="1">ROUNDUP(IF(race="Gnome",1,(1-MIN(TblMili[[#This Row],[Smithies]]*smithy_bonus,smithy_bonus_cap) + tech_3_5*TblTech[[#This Row],[3-5]] + tech_5_3*TblTech[[#This Row],[5-3]] + tech_5_5*TblTech[[#This Row],[5-5]]))*spec_dp_ore,0)</f>
        <v>10</v>
      </c>
      <c r="BJ68" s="113">
        <f ca="1">ROUNDUP((1-MIN(TblMili[[#This Row],[Smithies]]*smithy_bonus,smithy_bonus_cap) + tech_3_5*TblTech[[#This Row],[3-5]] + tech_5_3*TblTech[[#This Row],[5-3]] + tech_5_5*TblTech[[#This Row],[5-5]])*elite1_plat,0)</f>
        <v>656</v>
      </c>
      <c r="BK68" s="113">
        <f ca="1">ROUNDUP(IF(race="Gnome",1,(1-MIN(TblMili[[#This Row],[Smithies]]*smithy_bonus,smithy_bonus_cap) + tech_3_5*TblTech[[#This Row],[3-5]] + tech_5_3*TblTech[[#This Row],[5-3]] + tech_5_5*TblTech[[#This Row],[5-5]]))*elite1_ore,0)</f>
        <v>48</v>
      </c>
      <c r="BL68" s="113">
        <f ca="1">ROUNDUP((1-MIN(TblMili[[#This Row],[Smithies]]*smithy_bonus,smithy_bonus_cap) + tech_3_5*TblTech[[#This Row],[3-5]] + tech_5_3*TblTech[[#This Row],[5-3]] + tech_5_5*TblTech[[#This Row],[5-5]])*elite2_plat,0)</f>
        <v>800</v>
      </c>
      <c r="BM68" s="113">
        <f ca="1">ROUNDUP(IF(race="Gnome",1,(1-MIN(TblMili[[#This Row],[Smithies]]*smithy_bonus,smithy_bonus_cap) + tech_3_5*TblTech[[#This Row],[3-5]] + tech_5_3*TblTech[[#This Row],[5-3]] + tech_5_5*TblTech[[#This Row],[5-5]]))*elite2_ore,0)</f>
        <v>64</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0.75</v>
      </c>
      <c r="BS68" s="208">
        <f ca="1">TblMili[[#This Row],[WG''s]]</f>
        <v>0</v>
      </c>
      <c r="BT68" s="323">
        <f ca="1">IF(mystic_cap="none",TblMili[[#This Row],[Hill]]/mystic_bonus,MIN(mystic_cap,TblMili[[#This Row],[Hill]]/mystic_bonus))</f>
        <v>3.75</v>
      </c>
      <c r="BU68" s="323">
        <f ca="1">IF(druid_op_cap="none",TblMili[[#This Row],[Hill]]/druid_op_bonus,MIN(druid_op_cap,TblMili[[#This Row],[Hill]]/druid_op_bonus))</f>
        <v>3.75</v>
      </c>
      <c r="BV68" s="323">
        <f ca="1">IF(druid_dp_cap="none",TblMili[[#This Row],[Hill]]/druid_dp_bonus,MIN(druid_dp_cap,TblMili[[#This Row],[Hill]]/druid_dp_bonus))</f>
        <v>3.75</v>
      </c>
      <c r="BW68" s="323">
        <f ca="1">MIN(dryad_cap,TblMili[[#This Row],[Hill]]/dryad_bonus)</f>
        <v>3.75</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3</v>
      </c>
      <c r="CD68" s="59">
        <f ca="1">MIN(ice_elem_cap,TblMili[[#This Row],[Raw (2)]]*ice_elem_bonus)</f>
        <v>4.1666666666666664E-2</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3.95</v>
      </c>
      <c r="CK6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8" s="113">
        <f ca="1">TblMili[[#This Row],[Mystic bonus]]*TblMili[[#This Row],[Unit 3]]+TblMili[[#This Row],[Druid bonus]]*TblMili[[#This Row],[Unit 4]]</f>
        <v>0</v>
      </c>
      <c r="CM68" s="201">
        <f ca="1">MIN(6,TblMili[[#This Row],[Dryad]]+Races!$F$35)*1.8 +  IF(TblMili[[#This Row],[Dryad]]+Races!$F$35&gt;6,(TblMili[[#This Row],[Dryad]]+Races!$F$35-6)*0.2,0) - Races!$I$19</f>
        <v>3.7500000000000009</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5.4</v>
      </c>
      <c r="CT68" s="201">
        <f ca="1">1.8 * MIN(MAX(TblMili[[#This Row],[Ice Elemental]]+Races!$E$71,Races!$F$71),6)  +  0.45 * MIN(MIN(TblMili[[#This Row],[Ice Elemental]]+Races!$E$71,Races!$F$71),6)  +  0.2 * ( MAX(TblMili[[#This Row],[Ice Elemental]]+Races!$E$71-6,0) + MAX(Races!$F$71-6,0) )  -  Races!$I$71</f>
        <v>7.4999999999999289E-2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8" s="184"/>
      <c r="DA68" s="326">
        <f ca="1">(TblMili[[#This Row],[Wizards]]+2*TblMili[[#This Row],[Archmages]])/TblConstr[[#This Row],[Land]]</f>
        <v>4.1666666666666664E-2</v>
      </c>
      <c r="DB68" s="326">
        <f ca="1">TblMili[[#This Row],[Raw (2)]]*(1+race_wizard_strength+IF(TblMili[[#This Row],[Hour]]&gt;72,tech_magical_weaponry_wiz*TblTech[[#This Row],[3-5]],0))</f>
        <v>4.1666666666666664E-2</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2042</v>
      </c>
      <c r="C69" s="203">
        <f ca="1">TblPop[[#This Row],[Military%]]</f>
        <v>0.20495834587975509</v>
      </c>
      <c r="D69" s="184"/>
      <c r="E69" s="49">
        <f ca="1">OFFSET(TblMili[[#This Row],[Unit 1]],-1,0) + OFFSET(TblMili[[#This Row],[Train Unit 1]],-9,0) - TblMili[[#This Row],[Release Unit 1]]</f>
        <v>0</v>
      </c>
      <c r="F69" s="49">
        <f ca="1">OFFSET(TblMili[[#This Row],[Unit 2]],-1,0) + OFFSET(TblMili[[#This Row],[Train Unit 2]],-9,0)-TblMili[[#This Row],[Release Unit 2]]</f>
        <v>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15250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9" s="319">
        <f ca="1">TblMili[[#This Row],[Non Draft]]+TblMili[[#This Row],[Draftees]]</f>
        <v>166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0</v>
      </c>
      <c r="V69" s="319">
        <f ca="1">TblMili[[#This Row],[Draft]] * (1 + TblMili[[#This Row],[Mods_Def]])</f>
        <v>166</v>
      </c>
      <c r="W69" s="319">
        <f ca="1">TblConstr[[#This Row],[Land]]</f>
        <v>600</v>
      </c>
      <c r="X69" s="322"/>
      <c r="Y69" s="327">
        <f ca="1">IF(TblMili[[#This Row],[Set]]&lt;&gt;"",TblMili[[#This Row],[Set]],OFFSET(TblMili[[#This Row],[Draftrate]],-1,0))</f>
        <v>0.9</v>
      </c>
      <c r="Z69" s="113">
        <f ca="1">OFFSET(TblMili[[#This Row],[Draftees]],-1,0)+OFFSET(TblPop[[#This Row],[Draft Growth]],-1,0) - SUM(TblMili[[#This Row],[Train Unit 1]:[Train Wiz]]) - TblMili[[#This Row],[Release Draft]] + SUM(TblMili[[#This Row],[Release Unit 1]:[Release Arch]]) -TblExplore[[#This Row],[Draftees (2)]]</f>
        <v>166</v>
      </c>
      <c r="AA69" s="200"/>
      <c r="AB69" s="234">
        <f ca="1">(TblConstr[[#This Row],[Tot Smi]]+TblConstr[[#This Row],[Dest Smi]])/(TblConstr[[#This Row],[Land]]-TblExplore[[#This Row],[Land Bonus]]*20)</f>
        <v>0.18</v>
      </c>
      <c r="AC69" s="178"/>
      <c r="AD69" s="318">
        <f>TblMili[[#This Row],[Hour]]</f>
        <v>66</v>
      </c>
      <c r="AE69" s="179">
        <f ca="1">TblExplore[[#This Row],[Time]]</f>
        <v>44407.458333333176</v>
      </c>
      <c r="AF69" s="232"/>
      <c r="AG69" s="204"/>
      <c r="AH69" s="232"/>
      <c r="AI69" s="232"/>
      <c r="AJ69" s="232"/>
      <c r="AK69" s="232"/>
      <c r="AL69" s="232"/>
      <c r="AM69" s="184"/>
      <c r="AN69" s="113">
        <f ca="1">TblProd[[#This Row],[Platinum]]</f>
        <v>76587</v>
      </c>
      <c r="AO69" s="113">
        <f ca="1">INDEX(TblProd[[#Headers],[Lumber]]:TblProd[[#This Row],[Ore]],COUNTA(TblProd[[#Headers],[Lumber]]:TblProd[[#This Row],[Lumber]]),MATCH(Military!$AO$2,TblProd[[#Headers],[Lumber]:[Ore]],0))</f>
        <v>6590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44407.458333333176</v>
      </c>
      <c r="AT69" s="113">
        <f ca="1">TblMili[[#This Row],[Draftees]]</f>
        <v>166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176</v>
      </c>
      <c r="BG69" s="113">
        <f ca="1">ROUNDUP(IF(race="Gnome",1,(1-MIN(TblMili[[#This Row],[Smithies]]*smithy_bonus,smithy_bonus_cap) + tech_3_5*TblTech[[#This Row],[3-5]] + tech_5_3*TblTech[[#This Row],[5-3]] + tech_5_5*TblTech[[#This Row],[5-5]]))*spec_op_ore,0)</f>
        <v>16</v>
      </c>
      <c r="BH69" s="113">
        <f ca="1">ROUNDUP((1-MIN(TblMili[[#This Row],[Smithies]]*smithy_bonus,smithy_bonus_cap) + tech_3_5*TblTech[[#This Row],[3-5]] + tech_5_3*TblTech[[#This Row],[5-3]] + tech_5_5*TblTech[[#This Row],[5-5]])*spec_dp_plat,0)</f>
        <v>176</v>
      </c>
      <c r="BI69" s="113">
        <f ca="1">ROUNDUP(IF(race="Gnome",1,(1-MIN(TblMili[[#This Row],[Smithies]]*smithy_bonus,smithy_bonus_cap) + tech_3_5*TblTech[[#This Row],[3-5]] + tech_5_3*TblTech[[#This Row],[5-3]] + tech_5_5*TblTech[[#This Row],[5-5]]))*spec_dp_ore,0)</f>
        <v>10</v>
      </c>
      <c r="BJ69" s="113">
        <f ca="1">ROUNDUP((1-MIN(TblMili[[#This Row],[Smithies]]*smithy_bonus,smithy_bonus_cap) + tech_3_5*TblTech[[#This Row],[3-5]] + tech_5_3*TblTech[[#This Row],[5-3]] + tech_5_5*TblTech[[#This Row],[5-5]])*elite1_plat,0)</f>
        <v>656</v>
      </c>
      <c r="BK69" s="113">
        <f ca="1">ROUNDUP(IF(race="Gnome",1,(1-MIN(TblMili[[#This Row],[Smithies]]*smithy_bonus,smithy_bonus_cap) + tech_3_5*TblTech[[#This Row],[3-5]] + tech_5_3*TblTech[[#This Row],[5-3]] + tech_5_5*TblTech[[#This Row],[5-5]]))*elite1_ore,0)</f>
        <v>48</v>
      </c>
      <c r="BL69" s="113">
        <f ca="1">ROUNDUP((1-MIN(TblMili[[#This Row],[Smithies]]*smithy_bonus,smithy_bonus_cap) + tech_3_5*TblTech[[#This Row],[3-5]] + tech_5_3*TblTech[[#This Row],[5-3]] + tech_5_5*TblTech[[#This Row],[5-5]])*elite2_plat,0)</f>
        <v>800</v>
      </c>
      <c r="BM69" s="113">
        <f ca="1">ROUNDUP(IF(race="Gnome",1,(1-MIN(TblMili[[#This Row],[Smithies]]*smithy_bonus,smithy_bonus_cap) + tech_3_5*TblTech[[#This Row],[3-5]] + tech_5_3*TblTech[[#This Row],[5-3]] + tech_5_5*TblTech[[#This Row],[5-5]]))*elite2_ore,0)</f>
        <v>64</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0.75</v>
      </c>
      <c r="BS69" s="208">
        <f ca="1">TblMili[[#This Row],[WG''s]]</f>
        <v>0</v>
      </c>
      <c r="BT69" s="323">
        <f ca="1">IF(mystic_cap="none",TblMili[[#This Row],[Hill]]/mystic_bonus,MIN(mystic_cap,TblMili[[#This Row],[Hill]]/mystic_bonus))</f>
        <v>3.75</v>
      </c>
      <c r="BU69" s="323">
        <f ca="1">IF(druid_op_cap="none",TblMili[[#This Row],[Hill]]/druid_op_bonus,MIN(druid_op_cap,TblMili[[#This Row],[Hill]]/druid_op_bonus))</f>
        <v>3.75</v>
      </c>
      <c r="BV69" s="323">
        <f ca="1">IF(druid_dp_cap="none",TblMili[[#This Row],[Hill]]/druid_dp_bonus,MIN(druid_dp_cap,TblMili[[#This Row],[Hill]]/druid_dp_bonus))</f>
        <v>3.75</v>
      </c>
      <c r="BW69" s="323">
        <f ca="1">MIN(dryad_cap,TblMili[[#This Row],[Hill]]/dryad_bonus)</f>
        <v>3.75</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3</v>
      </c>
      <c r="CD69" s="59">
        <f ca="1">MIN(ice_elem_cap,TblMili[[#This Row],[Raw (2)]]*ice_elem_bonus)</f>
        <v>4.1666666666666664E-2</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3.95</v>
      </c>
      <c r="CK6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9" s="113">
        <f ca="1">TblMili[[#This Row],[Mystic bonus]]*TblMili[[#This Row],[Unit 3]]+TblMili[[#This Row],[Druid bonus]]*TblMili[[#This Row],[Unit 4]]</f>
        <v>0</v>
      </c>
      <c r="CM69" s="201">
        <f ca="1">MIN(6,TblMili[[#This Row],[Dryad]]+Races!$F$35)*1.8 +  IF(TblMili[[#This Row],[Dryad]]+Races!$F$35&gt;6,(TblMili[[#This Row],[Dryad]]+Races!$F$35-6)*0.2,0) - Races!$I$19</f>
        <v>3.7500000000000009</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5.4</v>
      </c>
      <c r="CT69" s="201">
        <f ca="1">1.8 * MIN(MAX(TblMili[[#This Row],[Ice Elemental]]+Races!$E$71,Races!$F$71),6)  +  0.45 * MIN(MIN(TblMili[[#This Row],[Ice Elemental]]+Races!$E$71,Races!$F$71),6)  +  0.2 * ( MAX(TblMili[[#This Row],[Ice Elemental]]+Races!$E$71-6,0) + MAX(Races!$F$71-6,0) )  -  Races!$I$71</f>
        <v>7.4999999999999289E-2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9" s="184"/>
      <c r="DA69" s="326">
        <f ca="1">(TblMili[[#This Row],[Wizards]]+2*TblMili[[#This Row],[Archmages]])/TblConstr[[#This Row],[Land]]</f>
        <v>4.1666666666666664E-2</v>
      </c>
      <c r="DB69" s="326">
        <f ca="1">TblMili[[#This Row],[Raw (2)]]*(1+race_wizard_strength+IF(TblMili[[#This Row],[Hour]]&gt;72,tech_magical_weaponry_wiz*TblTech[[#This Row],[3-5]],0))</f>
        <v>4.1666666666666664E-2</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2121</v>
      </c>
      <c r="C70" s="203">
        <f ca="1">TblPop[[#This Row],[Military%]]</f>
        <v>0.21288768443239989</v>
      </c>
      <c r="D70" s="184"/>
      <c r="E70" s="49">
        <f ca="1">OFFSET(TblMili[[#This Row],[Unit 1]],-1,0) + OFFSET(TblMili[[#This Row],[Train Unit 1]],-9,0) - TblMili[[#This Row],[Release Unit 1]]</f>
        <v>0</v>
      </c>
      <c r="F70" s="49">
        <f ca="1">OFFSET(TblMili[[#This Row],[Unit 2]],-1,0) + OFFSET(TblMili[[#This Row],[Train Unit 2]],-9,0)-TblMili[[#This Row],[Release Unit 2]]</f>
        <v>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15250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0" s="319">
        <f ca="1">TblMili[[#This Row],[Non Draft]]+TblMili[[#This Row],[Draftees]]</f>
        <v>245</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0</v>
      </c>
      <c r="V70" s="319">
        <f ca="1">TblMili[[#This Row],[Draft]] * (1 + TblMili[[#This Row],[Mods_Def]])</f>
        <v>245</v>
      </c>
      <c r="W70" s="319">
        <f ca="1">TblConstr[[#This Row],[Land]]</f>
        <v>600</v>
      </c>
      <c r="X70" s="322"/>
      <c r="Y70" s="327">
        <f ca="1">IF(TblMili[[#This Row],[Set]]&lt;&gt;"",TblMili[[#This Row],[Set]],OFFSET(TblMili[[#This Row],[Draftrate]],-1,0))</f>
        <v>0.9</v>
      </c>
      <c r="Z70" s="113">
        <f ca="1">OFFSET(TblMili[[#This Row],[Draftees]],-1,0)+OFFSET(TblPop[[#This Row],[Draft Growth]],-1,0) - SUM(TblMili[[#This Row],[Train Unit 1]:[Train Wiz]]) - TblMili[[#This Row],[Release Draft]] + SUM(TblMili[[#This Row],[Release Unit 1]:[Release Arch]]) -TblExplore[[#This Row],[Draftees (2)]]</f>
        <v>245</v>
      </c>
      <c r="AA70" s="200"/>
      <c r="AB70" s="234">
        <f ca="1">(TblConstr[[#This Row],[Tot Smi]]+TblConstr[[#This Row],[Dest Smi]])/(TblConstr[[#This Row],[Land]]-TblExplore[[#This Row],[Land Bonus]]*20)</f>
        <v>0.18</v>
      </c>
      <c r="AC70" s="178"/>
      <c r="AD70" s="318">
        <f>TblMili[[#This Row],[Hour]]</f>
        <v>67</v>
      </c>
      <c r="AE70" s="179">
        <f ca="1">TblExplore[[#This Row],[Time]]</f>
        <v>44407.49999999984</v>
      </c>
      <c r="AF70" s="232"/>
      <c r="AG70" s="204"/>
      <c r="AH70" s="232"/>
      <c r="AI70" s="232"/>
      <c r="AJ70" s="232"/>
      <c r="AK70" s="232"/>
      <c r="AL70" s="232"/>
      <c r="AM70" s="184"/>
      <c r="AN70" s="113">
        <f ca="1">TblProd[[#This Row],[Platinum]]</f>
        <v>113180</v>
      </c>
      <c r="AO70" s="113">
        <f ca="1">INDEX(TblProd[[#Headers],[Lumber]]:TblProd[[#This Row],[Ore]],COUNTA(TblProd[[#Headers],[Lumber]]:TblProd[[#This Row],[Lumber]]),MATCH(Military!$AO$2,TblProd[[#Headers],[Lumber]:[Ore]],0))</f>
        <v>8390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44407.49999999984</v>
      </c>
      <c r="AT70" s="113">
        <f ca="1">TblMili[[#This Row],[Draftees]]</f>
        <v>245</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176</v>
      </c>
      <c r="BG70" s="113">
        <f ca="1">ROUNDUP(IF(race="Gnome",1,(1-MIN(TblMili[[#This Row],[Smithies]]*smithy_bonus,smithy_bonus_cap) + tech_3_5*TblTech[[#This Row],[3-5]] + tech_5_3*TblTech[[#This Row],[5-3]] + tech_5_5*TblTech[[#This Row],[5-5]]))*spec_op_ore,0)</f>
        <v>16</v>
      </c>
      <c r="BH70" s="113">
        <f ca="1">ROUNDUP((1-MIN(TblMili[[#This Row],[Smithies]]*smithy_bonus,smithy_bonus_cap) + tech_3_5*TblTech[[#This Row],[3-5]] + tech_5_3*TblTech[[#This Row],[5-3]] + tech_5_5*TblTech[[#This Row],[5-5]])*spec_dp_plat,0)</f>
        <v>176</v>
      </c>
      <c r="BI70" s="113">
        <f ca="1">ROUNDUP(IF(race="Gnome",1,(1-MIN(TblMili[[#This Row],[Smithies]]*smithy_bonus,smithy_bonus_cap) + tech_3_5*TblTech[[#This Row],[3-5]] + tech_5_3*TblTech[[#This Row],[5-3]] + tech_5_5*TblTech[[#This Row],[5-5]]))*spec_dp_ore,0)</f>
        <v>10</v>
      </c>
      <c r="BJ70" s="113">
        <f ca="1">ROUNDUP((1-MIN(TblMili[[#This Row],[Smithies]]*smithy_bonus,smithy_bonus_cap) + tech_3_5*TblTech[[#This Row],[3-5]] + tech_5_3*TblTech[[#This Row],[5-3]] + tech_5_5*TblTech[[#This Row],[5-5]])*elite1_plat,0)</f>
        <v>656</v>
      </c>
      <c r="BK70" s="113">
        <f ca="1">ROUNDUP(IF(race="Gnome",1,(1-MIN(TblMili[[#This Row],[Smithies]]*smithy_bonus,smithy_bonus_cap) + tech_3_5*TblTech[[#This Row],[3-5]] + tech_5_3*TblTech[[#This Row],[5-3]] + tech_5_5*TblTech[[#This Row],[5-5]]))*elite1_ore,0)</f>
        <v>48</v>
      </c>
      <c r="BL70" s="113">
        <f ca="1">ROUNDUP((1-MIN(TblMili[[#This Row],[Smithies]]*smithy_bonus,smithy_bonus_cap) + tech_3_5*TblTech[[#This Row],[3-5]] + tech_5_3*TblTech[[#This Row],[5-3]] + tech_5_5*TblTech[[#This Row],[5-5]])*elite2_plat,0)</f>
        <v>800</v>
      </c>
      <c r="BM70" s="113">
        <f ca="1">ROUNDUP(IF(race="Gnome",1,(1-MIN(TblMili[[#This Row],[Smithies]]*smithy_bonus,smithy_bonus_cap) + tech_3_5*TblTech[[#This Row],[3-5]] + tech_5_3*TblTech[[#This Row],[5-3]] + tech_5_5*TblTech[[#This Row],[5-5]]))*elite2_ore,0)</f>
        <v>64</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0.75</v>
      </c>
      <c r="BS70" s="208">
        <f ca="1">TblMili[[#This Row],[WG''s]]</f>
        <v>0</v>
      </c>
      <c r="BT70" s="323">
        <f ca="1">IF(mystic_cap="none",TblMili[[#This Row],[Hill]]/mystic_bonus,MIN(mystic_cap,TblMili[[#This Row],[Hill]]/mystic_bonus))</f>
        <v>3.75</v>
      </c>
      <c r="BU70" s="323">
        <f ca="1">IF(druid_op_cap="none",TblMili[[#This Row],[Hill]]/druid_op_bonus,MIN(druid_op_cap,TblMili[[#This Row],[Hill]]/druid_op_bonus))</f>
        <v>3.75</v>
      </c>
      <c r="BV70" s="323">
        <f ca="1">IF(druid_dp_cap="none",TblMili[[#This Row],[Hill]]/druid_dp_bonus,MIN(druid_dp_cap,TblMili[[#This Row],[Hill]]/druid_dp_bonus))</f>
        <v>3.75</v>
      </c>
      <c r="BW70" s="323">
        <f ca="1">MIN(dryad_cap,TblMili[[#This Row],[Hill]]/dryad_bonus)</f>
        <v>3.75</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3</v>
      </c>
      <c r="CD70" s="59">
        <f ca="1">MIN(ice_elem_cap,TblMili[[#This Row],[Raw (2)]]*ice_elem_bonus)</f>
        <v>4.1666666666666664E-2</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3.95</v>
      </c>
      <c r="CK7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0" s="113">
        <f ca="1">TblMili[[#This Row],[Mystic bonus]]*TblMili[[#This Row],[Unit 3]]+TblMili[[#This Row],[Druid bonus]]*TblMili[[#This Row],[Unit 4]]</f>
        <v>0</v>
      </c>
      <c r="CM70" s="201">
        <f ca="1">MIN(6,TblMili[[#This Row],[Dryad]]+Races!$F$35)*1.8 +  IF(TblMili[[#This Row],[Dryad]]+Races!$F$35&gt;6,(TblMili[[#This Row],[Dryad]]+Races!$F$35-6)*0.2,0) - Races!$I$19</f>
        <v>3.7500000000000009</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5.4</v>
      </c>
      <c r="CT70" s="201">
        <f ca="1">1.8 * MIN(MAX(TblMili[[#This Row],[Ice Elemental]]+Races!$E$71,Races!$F$71),6)  +  0.45 * MIN(MIN(TblMili[[#This Row],[Ice Elemental]]+Races!$E$71,Races!$F$71),6)  +  0.2 * ( MAX(TblMili[[#This Row],[Ice Elemental]]+Races!$E$71-6,0) + MAX(Races!$F$71-6,0) )  -  Races!$I$71</f>
        <v>7.4999999999999289E-2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0" s="184"/>
      <c r="DA70" s="326">
        <f ca="1">(TblMili[[#This Row],[Wizards]]+2*TblMili[[#This Row],[Archmages]])/TblConstr[[#This Row],[Land]]</f>
        <v>4.1666666666666664E-2</v>
      </c>
      <c r="DB70" s="326">
        <f ca="1">TblMili[[#This Row],[Raw (2)]]*(1+race_wizard_strength+IF(TblMili[[#This Row],[Hour]]&gt;72,tech_magical_weaponry_wiz*TblTech[[#This Row],[3-5]],0))</f>
        <v>4.1666666666666664E-2</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2199</v>
      </c>
      <c r="C71" s="203">
        <f ca="1">TblPop[[#This Row],[Military%]]</f>
        <v>0.22071665161096055</v>
      </c>
      <c r="D71" s="184"/>
      <c r="E71" s="49">
        <f ca="1">OFFSET(TblMili[[#This Row],[Unit 1]],-1,0) + OFFSET(TblMili[[#This Row],[Train Unit 1]],-9,0) - TblMili[[#This Row],[Release Unit 1]]</f>
        <v>0</v>
      </c>
      <c r="F71" s="49">
        <f ca="1">OFFSET(TblMili[[#This Row],[Unit 2]],-1,0) + OFFSET(TblMili[[#This Row],[Train Unit 2]],-9,0)-TblMili[[#This Row],[Release Unit 2]]</f>
        <v>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15250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1" s="319">
        <f ca="1">TblMili[[#This Row],[Non Draft]]+TblMili[[#This Row],[Draftees]]</f>
        <v>323</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0</v>
      </c>
      <c r="V71" s="319">
        <f ca="1">TblMili[[#This Row],[Draft]] * (1 + TblMili[[#This Row],[Mods_Def]])</f>
        <v>323</v>
      </c>
      <c r="W71" s="319">
        <f ca="1">TblConstr[[#This Row],[Land]]</f>
        <v>600</v>
      </c>
      <c r="X71" s="322"/>
      <c r="Y71" s="327">
        <f ca="1">IF(TblMili[[#This Row],[Set]]&lt;&gt;"",TblMili[[#This Row],[Set]],OFFSET(TblMili[[#This Row],[Draftrate]],-1,0))</f>
        <v>0.9</v>
      </c>
      <c r="Z71" s="113">
        <f ca="1">OFFSET(TblMili[[#This Row],[Draftees]],-1,0)+OFFSET(TblPop[[#This Row],[Draft Growth]],-1,0) - SUM(TblMili[[#This Row],[Train Unit 1]:[Train Wiz]]) - TblMili[[#This Row],[Release Draft]] + SUM(TblMili[[#This Row],[Release Unit 1]:[Release Arch]]) -TblExplore[[#This Row],[Draftees (2)]]</f>
        <v>323</v>
      </c>
      <c r="AA71" s="200"/>
      <c r="AB71" s="234">
        <f ca="1">(TblConstr[[#This Row],[Tot Smi]]+TblConstr[[#This Row],[Dest Smi]])/(TblConstr[[#This Row],[Land]]-TblExplore[[#This Row],[Land Bonus]]*20)</f>
        <v>0.18</v>
      </c>
      <c r="AC71" s="178"/>
      <c r="AD71" s="318">
        <f>TblMili[[#This Row],[Hour]]</f>
        <v>68</v>
      </c>
      <c r="AE71" s="179">
        <f ca="1">TblExplore[[#This Row],[Time]]</f>
        <v>44407.541666666504</v>
      </c>
      <c r="AF71" s="232"/>
      <c r="AG71" s="204"/>
      <c r="AH71" s="232"/>
      <c r="AI71" s="232"/>
      <c r="AJ71" s="232"/>
      <c r="AK71" s="232"/>
      <c r="AL71" s="232"/>
      <c r="AM71" s="184"/>
      <c r="AN71" s="113">
        <f ca="1">TblProd[[#This Row],[Platinum]]</f>
        <v>149538</v>
      </c>
      <c r="AO71" s="113">
        <f ca="1">INDEX(TblProd[[#Headers],[Lumber]]:TblProd[[#This Row],[Ore]],COUNTA(TblProd[[#Headers],[Lumber]]:TblProd[[#This Row],[Lumber]]),MATCH(Military!$AO$2,TblProd[[#Headers],[Lumber]:[Ore]],0))</f>
        <v>10190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44407.541666666504</v>
      </c>
      <c r="AT71" s="113">
        <f ca="1">TblMili[[#This Row],[Draftees]]</f>
        <v>323</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176</v>
      </c>
      <c r="BG71" s="113">
        <f ca="1">ROUNDUP(IF(race="Gnome",1,(1-MIN(TblMili[[#This Row],[Smithies]]*smithy_bonus,smithy_bonus_cap) + tech_3_5*TblTech[[#This Row],[3-5]] + tech_5_3*TblTech[[#This Row],[5-3]] + tech_5_5*TblTech[[#This Row],[5-5]]))*spec_op_ore,0)</f>
        <v>16</v>
      </c>
      <c r="BH71" s="113">
        <f ca="1">ROUNDUP((1-MIN(TblMili[[#This Row],[Smithies]]*smithy_bonus,smithy_bonus_cap) + tech_3_5*TblTech[[#This Row],[3-5]] + tech_5_3*TblTech[[#This Row],[5-3]] + tech_5_5*TblTech[[#This Row],[5-5]])*spec_dp_plat,0)</f>
        <v>176</v>
      </c>
      <c r="BI71" s="113">
        <f ca="1">ROUNDUP(IF(race="Gnome",1,(1-MIN(TblMili[[#This Row],[Smithies]]*smithy_bonus,smithy_bonus_cap) + tech_3_5*TblTech[[#This Row],[3-5]] + tech_5_3*TblTech[[#This Row],[5-3]] + tech_5_5*TblTech[[#This Row],[5-5]]))*spec_dp_ore,0)</f>
        <v>10</v>
      </c>
      <c r="BJ71" s="113">
        <f ca="1">ROUNDUP((1-MIN(TblMili[[#This Row],[Smithies]]*smithy_bonus,smithy_bonus_cap) + tech_3_5*TblTech[[#This Row],[3-5]] + tech_5_3*TblTech[[#This Row],[5-3]] + tech_5_5*TblTech[[#This Row],[5-5]])*elite1_plat,0)</f>
        <v>656</v>
      </c>
      <c r="BK71" s="113">
        <f ca="1">ROUNDUP(IF(race="Gnome",1,(1-MIN(TblMili[[#This Row],[Smithies]]*smithy_bonus,smithy_bonus_cap) + tech_3_5*TblTech[[#This Row],[3-5]] + tech_5_3*TblTech[[#This Row],[5-3]] + tech_5_5*TblTech[[#This Row],[5-5]]))*elite1_ore,0)</f>
        <v>48</v>
      </c>
      <c r="BL71" s="113">
        <f ca="1">ROUNDUP((1-MIN(TblMili[[#This Row],[Smithies]]*smithy_bonus,smithy_bonus_cap) + tech_3_5*TblTech[[#This Row],[3-5]] + tech_5_3*TblTech[[#This Row],[5-3]] + tech_5_5*TblTech[[#This Row],[5-5]])*elite2_plat,0)</f>
        <v>800</v>
      </c>
      <c r="BM71" s="113">
        <f ca="1">ROUNDUP(IF(race="Gnome",1,(1-MIN(TblMili[[#This Row],[Smithies]]*smithy_bonus,smithy_bonus_cap) + tech_3_5*TblTech[[#This Row],[3-5]] + tech_5_3*TblTech[[#This Row],[5-3]] + tech_5_5*TblTech[[#This Row],[5-5]]))*elite2_ore,0)</f>
        <v>64</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0.75</v>
      </c>
      <c r="BS71" s="208">
        <f ca="1">TblMili[[#This Row],[WG''s]]</f>
        <v>0</v>
      </c>
      <c r="BT71" s="323">
        <f ca="1">IF(mystic_cap="none",TblMili[[#This Row],[Hill]]/mystic_bonus,MIN(mystic_cap,TblMili[[#This Row],[Hill]]/mystic_bonus))</f>
        <v>3.75</v>
      </c>
      <c r="BU71" s="323">
        <f ca="1">IF(druid_op_cap="none",TblMili[[#This Row],[Hill]]/druid_op_bonus,MIN(druid_op_cap,TblMili[[#This Row],[Hill]]/druid_op_bonus))</f>
        <v>3.75</v>
      </c>
      <c r="BV71" s="323">
        <f ca="1">IF(druid_dp_cap="none",TblMili[[#This Row],[Hill]]/druid_dp_bonus,MIN(druid_dp_cap,TblMili[[#This Row],[Hill]]/druid_dp_bonus))</f>
        <v>3.75</v>
      </c>
      <c r="BW71" s="323">
        <f ca="1">MIN(dryad_cap,TblMili[[#This Row],[Hill]]/dryad_bonus)</f>
        <v>3.75</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3</v>
      </c>
      <c r="CD71" s="59">
        <f ca="1">MIN(ice_elem_cap,TblMili[[#This Row],[Raw (2)]]*ice_elem_bonus)</f>
        <v>4.1666666666666664E-2</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3.95</v>
      </c>
      <c r="CK7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1" s="113">
        <f ca="1">TblMili[[#This Row],[Mystic bonus]]*TblMili[[#This Row],[Unit 3]]+TblMili[[#This Row],[Druid bonus]]*TblMili[[#This Row],[Unit 4]]</f>
        <v>0</v>
      </c>
      <c r="CM71" s="201">
        <f ca="1">MIN(6,TblMili[[#This Row],[Dryad]]+Races!$F$35)*1.8 +  IF(TblMili[[#This Row],[Dryad]]+Races!$F$35&gt;6,(TblMili[[#This Row],[Dryad]]+Races!$F$35-6)*0.2,0) - Races!$I$19</f>
        <v>3.7500000000000009</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5.4</v>
      </c>
      <c r="CT71" s="201">
        <f ca="1">1.8 * MIN(MAX(TblMili[[#This Row],[Ice Elemental]]+Races!$E$71,Races!$F$71),6)  +  0.45 * MIN(MIN(TblMili[[#This Row],[Ice Elemental]]+Races!$E$71,Races!$F$71),6)  +  0.2 * ( MAX(TblMili[[#This Row],[Ice Elemental]]+Races!$E$71-6,0) + MAX(Races!$F$71-6,0) )  -  Races!$I$71</f>
        <v>7.4999999999999289E-2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1" s="184"/>
      <c r="DA71" s="326">
        <f ca="1">(TblMili[[#This Row],[Wizards]]+2*TblMili[[#This Row],[Archmages]])/TblConstr[[#This Row],[Land]]</f>
        <v>4.1666666666666664E-2</v>
      </c>
      <c r="DB71" s="326">
        <f ca="1">TblMili[[#This Row],[Raw (2)]]*(1+race_wizard_strength+IF(TblMili[[#This Row],[Hour]]&gt;72,tech_magical_weaponry_wiz*TblTech[[#This Row],[3-5]],0))</f>
        <v>4.1666666666666664E-2</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2277</v>
      </c>
      <c r="C72" s="203">
        <f ca="1">TblPop[[#This Row],[Military%]]</f>
        <v>0.22854561878952123</v>
      </c>
      <c r="D72" s="184"/>
      <c r="E72" s="49">
        <f ca="1">OFFSET(TblMili[[#This Row],[Unit 1]],-1,0) + OFFSET(TblMili[[#This Row],[Train Unit 1]],-9,0) - TblMili[[#This Row],[Release Unit 1]]</f>
        <v>0</v>
      </c>
      <c r="F72" s="49">
        <f ca="1">OFFSET(TblMili[[#This Row],[Unit 2]],-1,0) + OFFSET(TblMili[[#This Row],[Train Unit 2]],-9,0)-TblMili[[#This Row],[Release Unit 2]]</f>
        <v>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15250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2" s="319">
        <f ca="1">TblMili[[#This Row],[Non Draft]]+TblMili[[#This Row],[Draftees]]</f>
        <v>401</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0</v>
      </c>
      <c r="V72" s="319">
        <f ca="1">TblMili[[#This Row],[Draft]] * (1 + TblMili[[#This Row],[Mods_Def]])</f>
        <v>401</v>
      </c>
      <c r="W72" s="319">
        <f ca="1">TblConstr[[#This Row],[Land]]</f>
        <v>600</v>
      </c>
      <c r="X72" s="322"/>
      <c r="Y72" s="327">
        <f ca="1">IF(TblMili[[#This Row],[Set]]&lt;&gt;"",TblMili[[#This Row],[Set]],OFFSET(TblMili[[#This Row],[Draftrate]],-1,0))</f>
        <v>0.9</v>
      </c>
      <c r="Z72" s="113">
        <f ca="1">OFFSET(TblMili[[#This Row],[Draftees]],-1,0)+OFFSET(TblPop[[#This Row],[Draft Growth]],-1,0) - SUM(TblMili[[#This Row],[Train Unit 1]:[Train Wiz]]) - TblMili[[#This Row],[Release Draft]] + SUM(TblMili[[#This Row],[Release Unit 1]:[Release Arch]]) -TblExplore[[#This Row],[Draftees (2)]]</f>
        <v>401</v>
      </c>
      <c r="AA72" s="200"/>
      <c r="AB72" s="234">
        <f ca="1">(TblConstr[[#This Row],[Tot Smi]]+TblConstr[[#This Row],[Dest Smi]])/(TblConstr[[#This Row],[Land]]-TblExplore[[#This Row],[Land Bonus]]*20)</f>
        <v>0.18</v>
      </c>
      <c r="AC72" s="178"/>
      <c r="AD72" s="318">
        <f>TblMili[[#This Row],[Hour]]</f>
        <v>69</v>
      </c>
      <c r="AE72" s="179">
        <f ca="1">TblExplore[[#This Row],[Time]]</f>
        <v>44407.583333333168</v>
      </c>
      <c r="AF72" s="232"/>
      <c r="AG72" s="232"/>
      <c r="AH72" s="232"/>
      <c r="AI72" s="232"/>
      <c r="AJ72" s="232"/>
      <c r="AK72" s="232"/>
      <c r="AL72" s="232"/>
      <c r="AM72" s="184"/>
      <c r="AN72" s="113">
        <f ca="1">TblProd[[#This Row],[Platinum]]</f>
        <v>185665</v>
      </c>
      <c r="AO72" s="113">
        <f ca="1">INDEX(TblProd[[#Headers],[Lumber]]:TblProd[[#This Row],[Ore]],COUNTA(TblProd[[#Headers],[Lumber]]:TblProd[[#This Row],[Lumber]]),MATCH(Military!$AO$2,TblProd[[#Headers],[Lumber]:[Ore]],0))</f>
        <v>11990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44407.583333333168</v>
      </c>
      <c r="AT72" s="113">
        <f ca="1">TblMili[[#This Row],[Draftees]]</f>
        <v>401</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176</v>
      </c>
      <c r="BG72" s="113">
        <f ca="1">ROUNDUP(IF(race="Gnome",1,(1-MIN(TblMili[[#This Row],[Smithies]]*smithy_bonus,smithy_bonus_cap) + tech_3_5*TblTech[[#This Row],[3-5]] + tech_5_3*TblTech[[#This Row],[5-3]] + tech_5_5*TblTech[[#This Row],[5-5]]))*spec_op_ore,0)</f>
        <v>16</v>
      </c>
      <c r="BH72" s="113">
        <f ca="1">ROUNDUP((1-MIN(TblMili[[#This Row],[Smithies]]*smithy_bonus,smithy_bonus_cap) + tech_3_5*TblTech[[#This Row],[3-5]] + tech_5_3*TblTech[[#This Row],[5-3]] + tech_5_5*TblTech[[#This Row],[5-5]])*spec_dp_plat,0)</f>
        <v>176</v>
      </c>
      <c r="BI72" s="113">
        <f ca="1">ROUNDUP(IF(race="Gnome",1,(1-MIN(TblMili[[#This Row],[Smithies]]*smithy_bonus,smithy_bonus_cap) + tech_3_5*TblTech[[#This Row],[3-5]] + tech_5_3*TblTech[[#This Row],[5-3]] + tech_5_5*TblTech[[#This Row],[5-5]]))*spec_dp_ore,0)</f>
        <v>10</v>
      </c>
      <c r="BJ72" s="113">
        <f ca="1">ROUNDUP((1-MIN(TblMili[[#This Row],[Smithies]]*smithy_bonus,smithy_bonus_cap) + tech_3_5*TblTech[[#This Row],[3-5]] + tech_5_3*TblTech[[#This Row],[5-3]] + tech_5_5*TblTech[[#This Row],[5-5]])*elite1_plat,0)</f>
        <v>656</v>
      </c>
      <c r="BK72" s="113">
        <f ca="1">ROUNDUP(IF(race="Gnome",1,(1-MIN(TblMili[[#This Row],[Smithies]]*smithy_bonus,smithy_bonus_cap) + tech_3_5*TblTech[[#This Row],[3-5]] + tech_5_3*TblTech[[#This Row],[5-3]] + tech_5_5*TblTech[[#This Row],[5-5]]))*elite1_ore,0)</f>
        <v>48</v>
      </c>
      <c r="BL72" s="113">
        <f ca="1">ROUNDUP((1-MIN(TblMili[[#This Row],[Smithies]]*smithy_bonus,smithy_bonus_cap) + tech_3_5*TblTech[[#This Row],[3-5]] + tech_5_3*TblTech[[#This Row],[5-3]] + tech_5_5*TblTech[[#This Row],[5-5]])*elite2_plat,0)</f>
        <v>800</v>
      </c>
      <c r="BM72" s="113">
        <f ca="1">ROUNDUP(IF(race="Gnome",1,(1-MIN(TblMili[[#This Row],[Smithies]]*smithy_bonus,smithy_bonus_cap) + tech_3_5*TblTech[[#This Row],[3-5]] + tech_5_3*TblTech[[#This Row],[5-3]] + tech_5_5*TblTech[[#This Row],[5-5]]))*elite2_ore,0)</f>
        <v>64</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0.75</v>
      </c>
      <c r="BS72" s="208">
        <f ca="1">TblMili[[#This Row],[WG''s]]</f>
        <v>0</v>
      </c>
      <c r="BT72" s="323">
        <f ca="1">IF(mystic_cap="none",TblMili[[#This Row],[Hill]]/mystic_bonus,MIN(mystic_cap,TblMili[[#This Row],[Hill]]/mystic_bonus))</f>
        <v>3.75</v>
      </c>
      <c r="BU72" s="323">
        <f ca="1">IF(druid_op_cap="none",TblMili[[#This Row],[Hill]]/druid_op_bonus,MIN(druid_op_cap,TblMili[[#This Row],[Hill]]/druid_op_bonus))</f>
        <v>3.75</v>
      </c>
      <c r="BV72" s="323">
        <f ca="1">IF(druid_dp_cap="none",TblMili[[#This Row],[Hill]]/druid_dp_bonus,MIN(druid_dp_cap,TblMili[[#This Row],[Hill]]/druid_dp_bonus))</f>
        <v>3.75</v>
      </c>
      <c r="BW72" s="323">
        <f ca="1">MIN(dryad_cap,TblMili[[#This Row],[Hill]]/dryad_bonus)</f>
        <v>3.75</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3</v>
      </c>
      <c r="CD72" s="59">
        <f ca="1">MIN(ice_elem_cap,TblMili[[#This Row],[Raw (2)]]*ice_elem_bonus)</f>
        <v>4.1666666666666664E-2</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3.95</v>
      </c>
      <c r="CK7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2" s="113">
        <f ca="1">TblMili[[#This Row],[Mystic bonus]]*TblMili[[#This Row],[Unit 3]]+TblMili[[#This Row],[Druid bonus]]*TblMili[[#This Row],[Unit 4]]</f>
        <v>0</v>
      </c>
      <c r="CM72" s="201">
        <f ca="1">MIN(6,TblMili[[#This Row],[Dryad]]+Races!$F$35)*1.8 +  IF(TblMili[[#This Row],[Dryad]]+Races!$F$35&gt;6,(TblMili[[#This Row],[Dryad]]+Races!$F$35-6)*0.2,0) - Races!$I$19</f>
        <v>3.7500000000000009</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5.4</v>
      </c>
      <c r="CT72" s="201">
        <f ca="1">1.8 * MIN(MAX(TblMili[[#This Row],[Ice Elemental]]+Races!$E$71,Races!$F$71),6)  +  0.45 * MIN(MIN(TblMili[[#This Row],[Ice Elemental]]+Races!$E$71,Races!$F$71),6)  +  0.2 * ( MAX(TblMili[[#This Row],[Ice Elemental]]+Races!$E$71-6,0) + MAX(Races!$F$71-6,0) )  -  Races!$I$71</f>
        <v>7.4999999999999289E-2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2" s="184"/>
      <c r="DA72" s="326">
        <f ca="1">(TblMili[[#This Row],[Wizards]]+2*TblMili[[#This Row],[Archmages]])/TblConstr[[#This Row],[Land]]</f>
        <v>4.1666666666666664E-2</v>
      </c>
      <c r="DB72" s="326">
        <f ca="1">TblMili[[#This Row],[Raw (2)]]*(1+race_wizard_strength+IF(TblMili[[#This Row],[Hour]]&gt;72,tech_magical_weaponry_wiz*TblTech[[#This Row],[3-5]],0))</f>
        <v>4.1666666666666664E-2</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2354</v>
      </c>
      <c r="C73" s="203">
        <f ca="1">TblPop[[#This Row],[Military%]]</f>
        <v>0.23627421459399781</v>
      </c>
      <c r="D73" s="184"/>
      <c r="E73" s="49">
        <f ca="1">OFFSET(TblMili[[#This Row],[Unit 1]],-1,0) + OFFSET(TblMili[[#This Row],[Train Unit 1]],-9,0) - TblMili[[#This Row],[Release Unit 1]]</f>
        <v>0</v>
      </c>
      <c r="F73" s="49">
        <f ca="1">OFFSET(TblMili[[#This Row],[Unit 2]],-1,0) + OFFSET(TblMili[[#This Row],[Train Unit 2]],-9,0)-TblMili[[#This Row],[Release Unit 2]]</f>
        <v>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15250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3" s="319">
        <f ca="1">TblMili[[#This Row],[Non Draft]]+TblMili[[#This Row],[Draftees]]</f>
        <v>478</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0</v>
      </c>
      <c r="V73" s="319">
        <f ca="1">TblMili[[#This Row],[Draft]] * (1 + TblMili[[#This Row],[Mods_Def]])</f>
        <v>478</v>
      </c>
      <c r="W73" s="319">
        <f ca="1">TblConstr[[#This Row],[Land]]</f>
        <v>600</v>
      </c>
      <c r="X73" s="322"/>
      <c r="Y73" s="327">
        <f ca="1">IF(TblMili[[#This Row],[Set]]&lt;&gt;"",TblMili[[#This Row],[Set]],OFFSET(TblMili[[#This Row],[Draftrate]],-1,0))</f>
        <v>0.9</v>
      </c>
      <c r="Z73" s="113">
        <f ca="1">OFFSET(TblMili[[#This Row],[Draftees]],-1,0)+OFFSET(TblPop[[#This Row],[Draft Growth]],-1,0) - SUM(TblMili[[#This Row],[Train Unit 1]:[Train Wiz]]) - TblMili[[#This Row],[Release Draft]] + SUM(TblMili[[#This Row],[Release Unit 1]:[Release Arch]]) -TblExplore[[#This Row],[Draftees (2)]]</f>
        <v>478</v>
      </c>
      <c r="AA73" s="200"/>
      <c r="AB73" s="234">
        <f ca="1">(TblConstr[[#This Row],[Tot Smi]]+TblConstr[[#This Row],[Dest Smi]])/(TblConstr[[#This Row],[Land]]-TblExplore[[#This Row],[Land Bonus]]*20)</f>
        <v>0.18</v>
      </c>
      <c r="AC73" s="178"/>
      <c r="AD73" s="318">
        <f>TblMili[[#This Row],[Hour]]</f>
        <v>70</v>
      </c>
      <c r="AE73" s="179">
        <f ca="1">TblExplore[[#This Row],[Time]]</f>
        <v>44407.624999999833</v>
      </c>
      <c r="AF73" s="232"/>
      <c r="AG73" s="232"/>
      <c r="AH73" s="232"/>
      <c r="AI73" s="232"/>
      <c r="AJ73" s="232"/>
      <c r="AK73" s="232"/>
      <c r="AL73" s="232"/>
      <c r="AM73" s="184"/>
      <c r="AN73" s="113">
        <f ca="1">TblProd[[#This Row],[Platinum]]</f>
        <v>221560</v>
      </c>
      <c r="AO73" s="113">
        <f ca="1">INDEX(TblProd[[#Headers],[Lumber]]:TblProd[[#This Row],[Ore]],COUNTA(TblProd[[#Headers],[Lumber]]:TblProd[[#This Row],[Lumber]]),MATCH(Military!$AO$2,TblProd[[#Headers],[Lumber]:[Ore]],0))</f>
        <v>13790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44407.624999999833</v>
      </c>
      <c r="AT73" s="113">
        <f ca="1">TblMili[[#This Row],[Draftees]]</f>
        <v>478</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176</v>
      </c>
      <c r="BG73" s="113">
        <f ca="1">ROUNDUP(IF(race="Gnome",1,(1-MIN(TblMili[[#This Row],[Smithies]]*smithy_bonus,smithy_bonus_cap) + tech_3_5*TblTech[[#This Row],[3-5]] + tech_5_3*TblTech[[#This Row],[5-3]] + tech_5_5*TblTech[[#This Row],[5-5]]))*spec_op_ore,0)</f>
        <v>16</v>
      </c>
      <c r="BH73" s="113">
        <f ca="1">ROUNDUP((1-MIN(TblMili[[#This Row],[Smithies]]*smithy_bonus,smithy_bonus_cap) + tech_3_5*TblTech[[#This Row],[3-5]] + tech_5_3*TblTech[[#This Row],[5-3]] + tech_5_5*TblTech[[#This Row],[5-5]])*spec_dp_plat,0)</f>
        <v>176</v>
      </c>
      <c r="BI73" s="113">
        <f ca="1">ROUNDUP(IF(race="Gnome",1,(1-MIN(TblMili[[#This Row],[Smithies]]*smithy_bonus,smithy_bonus_cap) + tech_3_5*TblTech[[#This Row],[3-5]] + tech_5_3*TblTech[[#This Row],[5-3]] + tech_5_5*TblTech[[#This Row],[5-5]]))*spec_dp_ore,0)</f>
        <v>10</v>
      </c>
      <c r="BJ73" s="113">
        <f ca="1">ROUNDUP((1-MIN(TblMili[[#This Row],[Smithies]]*smithy_bonus,smithy_bonus_cap) + tech_3_5*TblTech[[#This Row],[3-5]] + tech_5_3*TblTech[[#This Row],[5-3]] + tech_5_5*TblTech[[#This Row],[5-5]])*elite1_plat,0)</f>
        <v>656</v>
      </c>
      <c r="BK73" s="113">
        <f ca="1">ROUNDUP(IF(race="Gnome",1,(1-MIN(TblMili[[#This Row],[Smithies]]*smithy_bonus,smithy_bonus_cap) + tech_3_5*TblTech[[#This Row],[3-5]] + tech_5_3*TblTech[[#This Row],[5-3]] + tech_5_5*TblTech[[#This Row],[5-5]]))*elite1_ore,0)</f>
        <v>48</v>
      </c>
      <c r="BL73" s="113">
        <f ca="1">ROUNDUP((1-MIN(TblMili[[#This Row],[Smithies]]*smithy_bonus,smithy_bonus_cap) + tech_3_5*TblTech[[#This Row],[3-5]] + tech_5_3*TblTech[[#This Row],[5-3]] + tech_5_5*TblTech[[#This Row],[5-5]])*elite2_plat,0)</f>
        <v>800</v>
      </c>
      <c r="BM73" s="113">
        <f ca="1">ROUNDUP(IF(race="Gnome",1,(1-MIN(TblMili[[#This Row],[Smithies]]*smithy_bonus,smithy_bonus_cap) + tech_3_5*TblTech[[#This Row],[3-5]] + tech_5_3*TblTech[[#This Row],[5-3]] + tech_5_5*TblTech[[#This Row],[5-5]]))*elite2_ore,0)</f>
        <v>64</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0.75</v>
      </c>
      <c r="BS73" s="208">
        <f ca="1">TblMili[[#This Row],[WG''s]]</f>
        <v>0</v>
      </c>
      <c r="BT73" s="323">
        <f ca="1">IF(mystic_cap="none",TblMili[[#This Row],[Hill]]/mystic_bonus,MIN(mystic_cap,TblMili[[#This Row],[Hill]]/mystic_bonus))</f>
        <v>3.75</v>
      </c>
      <c r="BU73" s="323">
        <f ca="1">IF(druid_op_cap="none",TblMili[[#This Row],[Hill]]/druid_op_bonus,MIN(druid_op_cap,TblMili[[#This Row],[Hill]]/druid_op_bonus))</f>
        <v>3.75</v>
      </c>
      <c r="BV73" s="323">
        <f ca="1">IF(druid_dp_cap="none",TblMili[[#This Row],[Hill]]/druid_dp_bonus,MIN(druid_dp_cap,TblMili[[#This Row],[Hill]]/druid_dp_bonus))</f>
        <v>3.75</v>
      </c>
      <c r="BW73" s="323">
        <f ca="1">MIN(dryad_cap,TblMili[[#This Row],[Hill]]/dryad_bonus)</f>
        <v>3.75</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3</v>
      </c>
      <c r="CD73" s="59">
        <f ca="1">MIN(ice_elem_cap,TblMili[[#This Row],[Raw (2)]]*ice_elem_bonus)</f>
        <v>4.1666666666666664E-2</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3.95</v>
      </c>
      <c r="CK7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3" s="113">
        <f ca="1">TblMili[[#This Row],[Mystic bonus]]*TblMili[[#This Row],[Unit 3]]+TblMili[[#This Row],[Druid bonus]]*TblMili[[#This Row],[Unit 4]]</f>
        <v>0</v>
      </c>
      <c r="CM73" s="201">
        <f ca="1">MIN(6,TblMili[[#This Row],[Dryad]]+Races!$F$35)*1.8 +  IF(TblMili[[#This Row],[Dryad]]+Races!$F$35&gt;6,(TblMili[[#This Row],[Dryad]]+Races!$F$35-6)*0.2,0) - Races!$I$19</f>
        <v>3.7500000000000009</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5.4</v>
      </c>
      <c r="CT73" s="201">
        <f ca="1">1.8 * MIN(MAX(TblMili[[#This Row],[Ice Elemental]]+Races!$E$71,Races!$F$71),6)  +  0.45 * MIN(MIN(TblMili[[#This Row],[Ice Elemental]]+Races!$E$71,Races!$F$71),6)  +  0.2 * ( MAX(TblMili[[#This Row],[Ice Elemental]]+Races!$E$71-6,0) + MAX(Races!$F$71-6,0) )  -  Races!$I$71</f>
        <v>7.4999999999999289E-2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3" s="184"/>
      <c r="DA73" s="326">
        <f ca="1">(TblMili[[#This Row],[Wizards]]+2*TblMili[[#This Row],[Archmages]])/TblConstr[[#This Row],[Land]]</f>
        <v>4.1666666666666664E-2</v>
      </c>
      <c r="DB73" s="326">
        <f ca="1">TblMili[[#This Row],[Raw (2)]]*(1+race_wizard_strength+IF(TblMili[[#This Row],[Hour]]&gt;72,tech_magical_weaponry_wiz*TblTech[[#This Row],[3-5]],0))</f>
        <v>4.1666666666666664E-2</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2430</v>
      </c>
      <c r="C74" s="203">
        <f ca="1">TblPop[[#This Row],[Military%]]</f>
        <v>0.24390243902439024</v>
      </c>
      <c r="D74" s="184"/>
      <c r="E74" s="49">
        <f ca="1">OFFSET(TblMili[[#This Row],[Unit 1]],-1,0) + OFFSET(TblMili[[#This Row],[Train Unit 1]],-9,0) - TblMili[[#This Row],[Release Unit 1]]</f>
        <v>0</v>
      </c>
      <c r="F74" s="49">
        <f ca="1">OFFSET(TblMili[[#This Row],[Unit 2]],-1,0) + OFFSET(TblMili[[#This Row],[Train Unit 2]],-9,0)-TblMili[[#This Row],[Release Unit 2]]</f>
        <v>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15250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4" s="319">
        <f ca="1">TblMili[[#This Row],[Non Draft]]+TblMili[[#This Row],[Draftees]]</f>
        <v>554</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0</v>
      </c>
      <c r="V74" s="319">
        <f ca="1">TblMili[[#This Row],[Draft]] * (1 + TblMili[[#This Row],[Mods_Def]])</f>
        <v>554</v>
      </c>
      <c r="W74" s="319">
        <f ca="1">TblConstr[[#This Row],[Land]]</f>
        <v>600</v>
      </c>
      <c r="X74" s="322"/>
      <c r="Y74" s="327">
        <f ca="1">IF(TblMili[[#This Row],[Set]]&lt;&gt;"",TblMili[[#This Row],[Set]],OFFSET(TblMili[[#This Row],[Draftrate]],-1,0))</f>
        <v>0.9</v>
      </c>
      <c r="Z74" s="113">
        <f ca="1">OFFSET(TblMili[[#This Row],[Draftees]],-1,0)+OFFSET(TblPop[[#This Row],[Draft Growth]],-1,0) - SUM(TblMili[[#This Row],[Train Unit 1]:[Train Wiz]]) - TblMili[[#This Row],[Release Draft]] + SUM(TblMili[[#This Row],[Release Unit 1]:[Release Arch]]) -TblExplore[[#This Row],[Draftees (2)]]</f>
        <v>554</v>
      </c>
      <c r="AA74" s="200"/>
      <c r="AB74" s="234">
        <f ca="1">(TblConstr[[#This Row],[Tot Smi]]+TblConstr[[#This Row],[Dest Smi]])/(TblConstr[[#This Row],[Land]]-TblExplore[[#This Row],[Land Bonus]]*20)</f>
        <v>0.18</v>
      </c>
      <c r="AC74" s="178"/>
      <c r="AD74" s="318">
        <f>TblMili[[#This Row],[Hour]]</f>
        <v>71</v>
      </c>
      <c r="AE74" s="179">
        <f ca="1">TblExplore[[#This Row],[Time]]</f>
        <v>44407.666666666497</v>
      </c>
      <c r="AF74" s="232"/>
      <c r="AG74" s="232"/>
      <c r="AH74" s="232"/>
      <c r="AI74" s="232"/>
      <c r="AJ74" s="232"/>
      <c r="AK74" s="232"/>
      <c r="AL74" s="232"/>
      <c r="AM74" s="184"/>
      <c r="AN74" s="113">
        <f ca="1">TblProd[[#This Row],[Platinum]]</f>
        <v>257226</v>
      </c>
      <c r="AO74" s="113">
        <f ca="1">INDEX(TblProd[[#Headers],[Lumber]]:TblProd[[#This Row],[Ore]],COUNTA(TblProd[[#Headers],[Lumber]]:TblProd[[#This Row],[Lumber]]),MATCH(Military!$AO$2,TblProd[[#Headers],[Lumber]:[Ore]],0))</f>
        <v>15590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44407.666666666497</v>
      </c>
      <c r="AT74" s="113">
        <f ca="1">TblMili[[#This Row],[Draftees]]</f>
        <v>554</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176</v>
      </c>
      <c r="BG74" s="113">
        <f ca="1">ROUNDUP(IF(race="Gnome",1,(1-MIN(TblMili[[#This Row],[Smithies]]*smithy_bonus,smithy_bonus_cap) + tech_3_5*TblTech[[#This Row],[3-5]] + tech_5_3*TblTech[[#This Row],[5-3]] + tech_5_5*TblTech[[#This Row],[5-5]]))*spec_op_ore,0)</f>
        <v>16</v>
      </c>
      <c r="BH74" s="113">
        <f ca="1">ROUNDUP((1-MIN(TblMili[[#This Row],[Smithies]]*smithy_bonus,smithy_bonus_cap) + tech_3_5*TblTech[[#This Row],[3-5]] + tech_5_3*TblTech[[#This Row],[5-3]] + tech_5_5*TblTech[[#This Row],[5-5]])*spec_dp_plat,0)</f>
        <v>176</v>
      </c>
      <c r="BI74" s="113">
        <f ca="1">ROUNDUP(IF(race="Gnome",1,(1-MIN(TblMili[[#This Row],[Smithies]]*smithy_bonus,smithy_bonus_cap) + tech_3_5*TblTech[[#This Row],[3-5]] + tech_5_3*TblTech[[#This Row],[5-3]] + tech_5_5*TblTech[[#This Row],[5-5]]))*spec_dp_ore,0)</f>
        <v>10</v>
      </c>
      <c r="BJ74" s="113">
        <f ca="1">ROUNDUP((1-MIN(TblMili[[#This Row],[Smithies]]*smithy_bonus,smithy_bonus_cap) + tech_3_5*TblTech[[#This Row],[3-5]] + tech_5_3*TblTech[[#This Row],[5-3]] + tech_5_5*TblTech[[#This Row],[5-5]])*elite1_plat,0)</f>
        <v>656</v>
      </c>
      <c r="BK74" s="113">
        <f ca="1">ROUNDUP(IF(race="Gnome",1,(1-MIN(TblMili[[#This Row],[Smithies]]*smithy_bonus,smithy_bonus_cap) + tech_3_5*TblTech[[#This Row],[3-5]] + tech_5_3*TblTech[[#This Row],[5-3]] + tech_5_5*TblTech[[#This Row],[5-5]]))*elite1_ore,0)</f>
        <v>48</v>
      </c>
      <c r="BL74" s="113">
        <f ca="1">ROUNDUP((1-MIN(TblMili[[#This Row],[Smithies]]*smithy_bonus,smithy_bonus_cap) + tech_3_5*TblTech[[#This Row],[3-5]] + tech_5_3*TblTech[[#This Row],[5-3]] + tech_5_5*TblTech[[#This Row],[5-5]])*elite2_plat,0)</f>
        <v>800</v>
      </c>
      <c r="BM74" s="113">
        <f ca="1">ROUNDUP(IF(race="Gnome",1,(1-MIN(TblMili[[#This Row],[Smithies]]*smithy_bonus,smithy_bonus_cap) + tech_3_5*TblTech[[#This Row],[3-5]] + tech_5_3*TblTech[[#This Row],[5-3]] + tech_5_5*TblTech[[#This Row],[5-5]]))*elite2_ore,0)</f>
        <v>64</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0.75</v>
      </c>
      <c r="BS74" s="208">
        <f ca="1">TblMili[[#This Row],[WG''s]]</f>
        <v>0</v>
      </c>
      <c r="BT74" s="323">
        <f ca="1">IF(mystic_cap="none",TblMili[[#This Row],[Hill]]/mystic_bonus,MIN(mystic_cap,TblMili[[#This Row],[Hill]]/mystic_bonus))</f>
        <v>3.75</v>
      </c>
      <c r="BU74" s="323">
        <f ca="1">IF(druid_op_cap="none",TblMili[[#This Row],[Hill]]/druid_op_bonus,MIN(druid_op_cap,TblMili[[#This Row],[Hill]]/druid_op_bonus))</f>
        <v>3.75</v>
      </c>
      <c r="BV74" s="323">
        <f ca="1">IF(druid_dp_cap="none",TblMili[[#This Row],[Hill]]/druid_dp_bonus,MIN(druid_dp_cap,TblMili[[#This Row],[Hill]]/druid_dp_bonus))</f>
        <v>3.75</v>
      </c>
      <c r="BW74" s="323">
        <f ca="1">MIN(dryad_cap,TblMili[[#This Row],[Hill]]/dryad_bonus)</f>
        <v>3.75</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3</v>
      </c>
      <c r="CD74" s="59">
        <f ca="1">MIN(ice_elem_cap,TblMili[[#This Row],[Raw (2)]]*ice_elem_bonus)</f>
        <v>4.1666666666666664E-2</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3.95</v>
      </c>
      <c r="CK7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4" s="113">
        <f ca="1">TblMili[[#This Row],[Mystic bonus]]*TblMili[[#This Row],[Unit 3]]+TblMili[[#This Row],[Druid bonus]]*TblMili[[#This Row],[Unit 4]]</f>
        <v>0</v>
      </c>
      <c r="CM74" s="201">
        <f ca="1">MIN(6,TblMili[[#This Row],[Dryad]]+Races!$F$35)*1.8 +  IF(TblMili[[#This Row],[Dryad]]+Races!$F$35&gt;6,(TblMili[[#This Row],[Dryad]]+Races!$F$35-6)*0.2,0) - Races!$I$19</f>
        <v>3.7500000000000009</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5.4</v>
      </c>
      <c r="CT74" s="201">
        <f ca="1">1.8 * MIN(MAX(TblMili[[#This Row],[Ice Elemental]]+Races!$E$71,Races!$F$71),6)  +  0.45 * MIN(MIN(TblMili[[#This Row],[Ice Elemental]]+Races!$E$71,Races!$F$71),6)  +  0.2 * ( MAX(TblMili[[#This Row],[Ice Elemental]]+Races!$E$71-6,0) + MAX(Races!$F$71-6,0) )  -  Races!$I$71</f>
        <v>7.4999999999999289E-2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4" s="184"/>
      <c r="DA74" s="326">
        <f ca="1">(TblMili[[#This Row],[Wizards]]+2*TblMili[[#This Row],[Archmages]])/TblConstr[[#This Row],[Land]]</f>
        <v>4.1666666666666664E-2</v>
      </c>
      <c r="DB74" s="326">
        <f ca="1">TblMili[[#This Row],[Raw (2)]]*(1+race_wizard_strength+IF(TblMili[[#This Row],[Hour]]&gt;72,tech_magical_weaponry_wiz*TblTech[[#This Row],[3-5]],0))</f>
        <v>4.1666666666666664E-2</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2505</v>
      </c>
      <c r="C75" s="203">
        <f ca="1">TblPop[[#This Row],[Military%]]</f>
        <v>0.25143029208069856</v>
      </c>
      <c r="D75" s="184"/>
      <c r="E75" s="49">
        <f ca="1">OFFSET(TblMili[[#This Row],[Unit 1]],-1,0) + OFFSET(TblMili[[#This Row],[Train Unit 1]],-9,0) - TblMili[[#This Row],[Release Unit 1]]</f>
        <v>0</v>
      </c>
      <c r="F75" s="49">
        <f ca="1">OFFSET(TblMili[[#This Row],[Unit 2]],-1,0) + OFFSET(TblMili[[#This Row],[Train Unit 2]],-9,0)-TblMili[[#This Row],[Release Unit 2]]</f>
        <v>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15250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5" s="319">
        <f ca="1">TblMili[[#This Row],[Non Draft]]+TblMili[[#This Row],[Draftees]]</f>
        <v>629</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0</v>
      </c>
      <c r="V75" s="319">
        <f ca="1">TblMili[[#This Row],[Draft]] * (1 + TblMili[[#This Row],[Mods_Def]])</f>
        <v>629</v>
      </c>
      <c r="W75" s="319">
        <f ca="1">TblConstr[[#This Row],[Land]]</f>
        <v>600</v>
      </c>
      <c r="X75" s="322"/>
      <c r="Y75" s="327">
        <f ca="1">IF(TblMili[[#This Row],[Set]]&lt;&gt;"",TblMili[[#This Row],[Set]],OFFSET(TblMili[[#This Row],[Draftrate]],-1,0))</f>
        <v>0.9</v>
      </c>
      <c r="Z75" s="113">
        <f ca="1">OFFSET(TblMili[[#This Row],[Draftees]],-1,0)+OFFSET(TblPop[[#This Row],[Draft Growth]],-1,0) - SUM(TblMili[[#This Row],[Train Unit 1]:[Train Wiz]]) - TblMili[[#This Row],[Release Draft]] + SUM(TblMili[[#This Row],[Release Unit 1]:[Release Arch]]) -TblExplore[[#This Row],[Draftees (2)]]</f>
        <v>629</v>
      </c>
      <c r="AA75" s="200"/>
      <c r="AB75" s="234">
        <f ca="1">(TblConstr[[#This Row],[Tot Smi]]+TblConstr[[#This Row],[Dest Smi]])/(TblConstr[[#This Row],[Land]]-TblExplore[[#This Row],[Land Bonus]]*20)</f>
        <v>0.18</v>
      </c>
      <c r="AC75" s="178"/>
      <c r="AD75" s="318">
        <f>TblMili[[#This Row],[Hour]]</f>
        <v>72</v>
      </c>
      <c r="AE75" s="179">
        <f ca="1">TblExplore[[#This Row],[Time]]</f>
        <v>44407.708333333161</v>
      </c>
      <c r="AF75" s="232"/>
      <c r="AG75" s="232"/>
      <c r="AH75" s="232"/>
      <c r="AI75" s="232"/>
      <c r="AJ75" s="232"/>
      <c r="AK75" s="232"/>
      <c r="AL75" s="232"/>
      <c r="AM75" s="184"/>
      <c r="AN75" s="113">
        <f ca="1">TblProd[[#This Row],[Platinum]]</f>
        <v>292667</v>
      </c>
      <c r="AO75" s="113">
        <f ca="1">INDEX(TblProd[[#Headers],[Lumber]]:TblProd[[#This Row],[Ore]],COUNTA(TblProd[[#Headers],[Lumber]]:TblProd[[#This Row],[Lumber]]),MATCH(Military!$AO$2,TblProd[[#Headers],[Lumber]:[Ore]],0))</f>
        <v>17390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44407.708333333161</v>
      </c>
      <c r="AT75" s="113">
        <f ca="1">TblMili[[#This Row],[Draftees]]</f>
        <v>629</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176</v>
      </c>
      <c r="BG75" s="113">
        <f ca="1">ROUNDUP(IF(race="Gnome",1,(1-MIN(TblMili[[#This Row],[Smithies]]*smithy_bonus,smithy_bonus_cap) + tech_3_5*TblTech[[#This Row],[3-5]] + tech_5_3*TblTech[[#This Row],[5-3]] + tech_5_5*TblTech[[#This Row],[5-5]]))*spec_op_ore,0)</f>
        <v>16</v>
      </c>
      <c r="BH75" s="113">
        <f ca="1">ROUNDUP((1-MIN(TblMili[[#This Row],[Smithies]]*smithy_bonus,smithy_bonus_cap) + tech_3_5*TblTech[[#This Row],[3-5]] + tech_5_3*TblTech[[#This Row],[5-3]] + tech_5_5*TblTech[[#This Row],[5-5]])*spec_dp_plat,0)</f>
        <v>176</v>
      </c>
      <c r="BI75" s="113">
        <f ca="1">ROUNDUP(IF(race="Gnome",1,(1-MIN(TblMili[[#This Row],[Smithies]]*smithy_bonus,smithy_bonus_cap) + tech_3_5*TblTech[[#This Row],[3-5]] + tech_5_3*TblTech[[#This Row],[5-3]] + tech_5_5*TblTech[[#This Row],[5-5]]))*spec_dp_ore,0)</f>
        <v>10</v>
      </c>
      <c r="BJ75" s="113">
        <f ca="1">ROUNDUP((1-MIN(TblMili[[#This Row],[Smithies]]*smithy_bonus,smithy_bonus_cap) + tech_3_5*TblTech[[#This Row],[3-5]] + tech_5_3*TblTech[[#This Row],[5-3]] + tech_5_5*TblTech[[#This Row],[5-5]])*elite1_plat,0)</f>
        <v>656</v>
      </c>
      <c r="BK75" s="113">
        <f ca="1">ROUNDUP(IF(race="Gnome",1,(1-MIN(TblMili[[#This Row],[Smithies]]*smithy_bonus,smithy_bonus_cap) + tech_3_5*TblTech[[#This Row],[3-5]] + tech_5_3*TblTech[[#This Row],[5-3]] + tech_5_5*TblTech[[#This Row],[5-5]]))*elite1_ore,0)</f>
        <v>48</v>
      </c>
      <c r="BL75" s="113">
        <f ca="1">ROUNDUP((1-MIN(TblMili[[#This Row],[Smithies]]*smithy_bonus,smithy_bonus_cap) + tech_3_5*TblTech[[#This Row],[3-5]] + tech_5_3*TblTech[[#This Row],[5-3]] + tech_5_5*TblTech[[#This Row],[5-5]])*elite2_plat,0)</f>
        <v>800</v>
      </c>
      <c r="BM75" s="113">
        <f ca="1">ROUNDUP(IF(race="Gnome",1,(1-MIN(TblMili[[#This Row],[Smithies]]*smithy_bonus,smithy_bonus_cap) + tech_3_5*TblTech[[#This Row],[3-5]] + tech_5_3*TblTech[[#This Row],[5-3]] + tech_5_5*TblTech[[#This Row],[5-5]]))*elite2_ore,0)</f>
        <v>64</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0.75</v>
      </c>
      <c r="BS75" s="208">
        <f ca="1">TblMili[[#This Row],[WG''s]]</f>
        <v>0</v>
      </c>
      <c r="BT75" s="323">
        <f ca="1">IF(mystic_cap="none",TblMili[[#This Row],[Hill]]/mystic_bonus,MIN(mystic_cap,TblMili[[#This Row],[Hill]]/mystic_bonus))</f>
        <v>3.75</v>
      </c>
      <c r="BU75" s="323">
        <f ca="1">IF(druid_op_cap="none",TblMili[[#This Row],[Hill]]/druid_op_bonus,MIN(druid_op_cap,TblMili[[#This Row],[Hill]]/druid_op_bonus))</f>
        <v>3.75</v>
      </c>
      <c r="BV75" s="323">
        <f ca="1">IF(druid_dp_cap="none",TblMili[[#This Row],[Hill]]/druid_dp_bonus,MIN(druid_dp_cap,TblMili[[#This Row],[Hill]]/druid_dp_bonus))</f>
        <v>3.75</v>
      </c>
      <c r="BW75" s="323">
        <f ca="1">MIN(dryad_cap,TblMili[[#This Row],[Hill]]/dryad_bonus)</f>
        <v>3.75</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3</v>
      </c>
      <c r="CD75" s="59">
        <f ca="1">MIN(ice_elem_cap,TblMili[[#This Row],[Raw (2)]]*ice_elem_bonus)</f>
        <v>4.1666666666666664E-2</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3.95</v>
      </c>
      <c r="CK7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5" s="113">
        <f ca="1">TblMili[[#This Row],[Mystic bonus]]*TblMili[[#This Row],[Unit 3]]+TblMili[[#This Row],[Druid bonus]]*TblMili[[#This Row],[Unit 4]]</f>
        <v>0</v>
      </c>
      <c r="CM75" s="201">
        <f ca="1">MIN(6,TblMili[[#This Row],[Dryad]]+Races!$F$35)*1.8 +  IF(TblMili[[#This Row],[Dryad]]+Races!$F$35&gt;6,(TblMili[[#This Row],[Dryad]]+Races!$F$35-6)*0.2,0) - Races!$I$19</f>
        <v>3.7500000000000009</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5.4</v>
      </c>
      <c r="CT75" s="201">
        <f ca="1">1.8 * MIN(MAX(TblMili[[#This Row],[Ice Elemental]]+Races!$E$71,Races!$F$71),6)  +  0.45 * MIN(MIN(TblMili[[#This Row],[Ice Elemental]]+Races!$E$71,Races!$F$71),6)  +  0.2 * ( MAX(TblMili[[#This Row],[Ice Elemental]]+Races!$E$71-6,0) + MAX(Races!$F$71-6,0) )  -  Races!$I$71</f>
        <v>7.4999999999999289E-2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5" s="184"/>
      <c r="DA75" s="326">
        <f ca="1">(TblMili[[#This Row],[Wizards]]+2*TblMili[[#This Row],[Archmages]])/TblConstr[[#This Row],[Land]]</f>
        <v>4.1666666666666664E-2</v>
      </c>
      <c r="DB75" s="326">
        <f ca="1">TblMili[[#This Row],[Raw (2)]]*(1+race_wizard_strength+IF(TblMili[[#This Row],[Hour]]&gt;72,tech_magical_weaponry_wiz*TblTech[[#This Row],[3-5]],0))</f>
        <v>4.1666666666666664E-2</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2580</v>
      </c>
      <c r="C76" s="307">
        <f ca="1">TblPop[[#This Row],[Military%]]</f>
        <v>0.25895814513700693</v>
      </c>
      <c r="D76" s="192"/>
      <c r="E76" s="263">
        <f ca="1">OFFSET(TblMili[[#This Row],[Unit 1]],-1,0) + OFFSET(TblMili[[#This Row],[Train Unit 1]],-9,0) - TblMili[[#This Row],[Release Unit 1]]</f>
        <v>0</v>
      </c>
      <c r="F76" s="263">
        <f ca="1">OFFSET(TblMili[[#This Row],[Unit 2]],-1,0) + OFFSET(TblMili[[#This Row],[Train Unit 2]],-9,0)-TblMili[[#This Row],[Release Unit 2]]</f>
        <v>1081</v>
      </c>
      <c r="G76" s="262">
        <f ca="1">OFFSET(TblMili[[#This Row],[Unit 3]],-1,0) + OFFSET(TblMili[[#This Row],[Train Unit 3]],-12,0)-TblMili[[#This Row],[Release Unit 3]]</f>
        <v>125</v>
      </c>
      <c r="H76" s="263">
        <f ca="1">OFFSET(TblMili[[#This Row],[Unit 4]],-1,0) + OFFSET(TblMili[[#This Row],[Train Unit 4]],-12,0)-TblMili[[#This Row],[Release Unit 4]]</f>
        <v>600</v>
      </c>
      <c r="I76" s="263">
        <f ca="1">OFFSET(TblMili[[#This Row],[Spies]],-1,0) + OFFSET(TblMili[[#This Row],[Train Spies]],-12,0) - TblMili[[#This Row],[Release Spies]]</f>
        <v>35</v>
      </c>
      <c r="J76" s="263">
        <f ca="1">OFFSET(TblMili[[#This Row],[Wizards]],-1,0) + OFFSET(TblMili[[#This Row],[Train Wiz]],-12,0) - TblMili[[#This Row],[Release Wizards]]-TblMili[[#This Row],[Train Arch]]</f>
        <v>35</v>
      </c>
      <c r="K76" s="263">
        <f ca="1">OFFSET(TblMili[[#This Row],[Archmages]],-1,0) + OFFSET(TblMili[[#This Row],[Train Arch]],-12,0) - TblMili[[#This Row],[Release Arch]]</f>
        <v>0</v>
      </c>
      <c r="L76" s="192"/>
      <c r="M76" s="262">
        <f ca="1">TblProd[[#This Row],[Networth]]</f>
        <v>29507.5</v>
      </c>
      <c r="N76" s="192"/>
      <c r="O76" s="331">
        <f ca="1">TblMili[[#This Row],[Unit 1]]*spec_op+TblMili[[#This Row],[Unit 3]]*(elite1_base_op+dark_elf*TblMili[[#This Row],[Adept]])+TblMili[[#This Row],[Unit 4]]*(elite2_base_op+icekin*TblMili[[#This Row],[Ice Elemental]]+woodie*TblMili[[#This Row],[Druid (op)]]+orc*TblMili[[#This Row],[Orc]])+kobold*TblMili[[#This Row],[Overlords]]</f>
        <v>3850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6" s="331">
        <f ca="1">TblMili[[#This Row],[Raw]]*(1+TblMili[[#This Row],[Mods_Off]])</f>
        <v>4138.75</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6" s="331">
        <f ca="1">TblMili[[#This Row],[Non Draft]]+TblMili[[#This Row],[Draftees]]</f>
        <v>6497</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6" s="333">
        <f ca="1">TblMili[[#This Row],[Non Draft]] * (1 + TblMili[[#This Row],[Mods_Def]])</f>
        <v>6372.3</v>
      </c>
      <c r="V76" s="331">
        <f ca="1">TblMili[[#This Row],[Draft]] * (1 + TblMili[[#This Row],[Mods_Def]])</f>
        <v>7146.7000000000007</v>
      </c>
      <c r="W76" s="331">
        <f ca="1">TblConstr[[#This Row],[Land]]</f>
        <v>600</v>
      </c>
      <c r="X76" s="334"/>
      <c r="Y76" s="335">
        <f ca="1">IF(TblMili[[#This Row],[Set]]&lt;&gt;"",TblMili[[#This Row],[Set]],OFFSET(TblMili[[#This Row],[Draftrate]],-1,0))</f>
        <v>0.9</v>
      </c>
      <c r="Z76" s="262">
        <f ca="1">OFFSET(TblMili[[#This Row],[Draftees]],-1,0)+OFFSET(TblPop[[#This Row],[Draft Growth]],-1,0) - SUM(TblMili[[#This Row],[Train Unit 1]:[Train Wiz]]) - TblMili[[#This Row],[Release Draft]] + SUM(TblMili[[#This Row],[Release Unit 1]:[Release Arch]]) -TblExplore[[#This Row],[Draftees (2)]]</f>
        <v>704</v>
      </c>
      <c r="AA76" s="212"/>
      <c r="AB76" s="261">
        <f ca="1">(TblConstr[[#This Row],[Tot Smi]]+TblConstr[[#This Row],[Dest Smi]])/(TblConstr[[#This Row],[Land]]-TblExplore[[#This Row],[Land Bonus]]*20)</f>
        <v>0.18</v>
      </c>
      <c r="AC76" s="186"/>
      <c r="AD76" s="330">
        <f>TblMili[[#This Row],[Hour]]</f>
        <v>73</v>
      </c>
      <c r="AE76" s="187">
        <f ca="1">TblExplore[[#This Row],[Time]]</f>
        <v>44407.749999999825</v>
      </c>
      <c r="AF76" s="259"/>
      <c r="AG76" s="259"/>
      <c r="AH76" s="216"/>
      <c r="AI76" s="259"/>
      <c r="AJ76" s="259"/>
      <c r="AK76" s="259"/>
      <c r="AL76" s="259"/>
      <c r="AM76" s="192"/>
      <c r="AN76" s="262">
        <f ca="1">TblProd[[#This Row],[Platinum]]</f>
        <v>327885</v>
      </c>
      <c r="AO76" s="262">
        <f ca="1">INDEX(TblProd[[#Headers],[Lumber]]:TblProd[[#This Row],[Ore]],COUNTA(TblProd[[#Headers],[Lumber]]:TblProd[[#This Row],[Lumber]]),MATCH(Military!$AO$2,TblProd[[#Headers],[Lumber]:[Ore]],0))</f>
        <v>19190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44407.749999999825</v>
      </c>
      <c r="AT76" s="262">
        <f ca="1">TblMili[[#This Row],[Draftees]]</f>
        <v>704</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176</v>
      </c>
      <c r="BG76" s="262">
        <f ca="1">ROUNDUP(IF(race="Gnome",1,(1-MIN(TblMili[[#This Row],[Smithies]]*smithy_bonus,smithy_bonus_cap) + tech_3_5*TblTech[[#This Row],[3-5]] + tech_5_3*TblTech[[#This Row],[5-3]] + tech_5_5*TblTech[[#This Row],[5-5]]))*spec_op_ore,0)</f>
        <v>16</v>
      </c>
      <c r="BH76" s="262">
        <f ca="1">ROUNDUP((1-MIN(TblMili[[#This Row],[Smithies]]*smithy_bonus,smithy_bonus_cap) + tech_3_5*TblTech[[#This Row],[3-5]] + tech_5_3*TblTech[[#This Row],[5-3]] + tech_5_5*TblTech[[#This Row],[5-5]])*spec_dp_plat,0)</f>
        <v>176</v>
      </c>
      <c r="BI76" s="262">
        <f ca="1">ROUNDUP(IF(race="Gnome",1,(1-MIN(TblMili[[#This Row],[Smithies]]*smithy_bonus,smithy_bonus_cap) + tech_3_5*TblTech[[#This Row],[3-5]] + tech_5_3*TblTech[[#This Row],[5-3]] + tech_5_5*TblTech[[#This Row],[5-5]]))*spec_dp_ore,0)</f>
        <v>10</v>
      </c>
      <c r="BJ76" s="262">
        <f ca="1">ROUNDUP((1-MIN(TblMili[[#This Row],[Smithies]]*smithy_bonus,smithy_bonus_cap) + tech_3_5*TblTech[[#This Row],[3-5]] + tech_5_3*TblTech[[#This Row],[5-3]] + tech_5_5*TblTech[[#This Row],[5-5]])*elite1_plat,0)</f>
        <v>656</v>
      </c>
      <c r="BK76" s="262">
        <f ca="1">ROUNDUP(IF(race="Gnome",1,(1-MIN(TblMili[[#This Row],[Smithies]]*smithy_bonus,smithy_bonus_cap) + tech_3_5*TblTech[[#This Row],[3-5]] + tech_5_3*TblTech[[#This Row],[5-3]] + tech_5_5*TblTech[[#This Row],[5-5]]))*elite1_ore,0)</f>
        <v>48</v>
      </c>
      <c r="BL76" s="262">
        <f ca="1">ROUNDUP((1-MIN(TblMili[[#This Row],[Smithies]]*smithy_bonus,smithy_bonus_cap) + tech_3_5*TblTech[[#This Row],[3-5]] + tech_5_3*TblTech[[#This Row],[5-3]] + tech_5_5*TblTech[[#This Row],[5-5]])*elite2_plat,0)</f>
        <v>800</v>
      </c>
      <c r="BM76" s="262">
        <f ca="1">ROUNDUP(IF(race="Gnome",1,(1-MIN(TblMili[[#This Row],[Smithies]]*smithy_bonus,smithy_bonus_cap) + tech_3_5*TblTech[[#This Row],[3-5]] + tech_5_3*TblTech[[#This Row],[5-3]] + tech_5_5*TblTech[[#This Row],[5-5]]))*elite2_ore,0)</f>
        <v>64</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0.75</v>
      </c>
      <c r="BS76" s="307">
        <f ca="1">TblMili[[#This Row],[WG''s]]</f>
        <v>0</v>
      </c>
      <c r="BT76" s="336">
        <f ca="1">IF(mystic_cap="none",TblMili[[#This Row],[Hill]]/mystic_bonus,MIN(mystic_cap,TblMili[[#This Row],[Hill]]/mystic_bonus))</f>
        <v>3.75</v>
      </c>
      <c r="BU76" s="336">
        <f ca="1">IF(druid_op_cap="none",TblMili[[#This Row],[Hill]]/druid_op_bonus,MIN(druid_op_cap,TblMili[[#This Row],[Hill]]/druid_op_bonus))</f>
        <v>3.75</v>
      </c>
      <c r="BV76" s="336">
        <f ca="1">IF(druid_dp_cap="none",TblMili[[#This Row],[Hill]]/druid_dp_bonus,MIN(druid_dp_cap,TblMili[[#This Row],[Hill]]/druid_dp_bonus))</f>
        <v>3.75</v>
      </c>
      <c r="BW76" s="336">
        <f ca="1">MIN(dryad_cap,TblMili[[#This Row],[Hill]]/dryad_bonus)</f>
        <v>3.75</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250</v>
      </c>
      <c r="CB76" s="262">
        <f ca="1">MIN(TblMili[[#This Row],[Unit 1]],TblMili[[#This Row],[Unit 4]])*2</f>
        <v>0</v>
      </c>
      <c r="CC76" s="336">
        <f ca="1">MIN(frost_mage_cap,TblMili[[#This Row],[Hill]]/frost_mage_bonus)</f>
        <v>3</v>
      </c>
      <c r="CD76" s="263">
        <f ca="1">MIN(ice_elem_cap,TblMili[[#This Row],[Raw (2)]]*ice_elem_bonus)</f>
        <v>5.8333333333333334E-2</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3.95</v>
      </c>
      <c r="CK76" s="336">
        <f ca="1">1.8 * MIN(MAX(TblMili[[#This Row],[Druid (op)]]+Races!$E$20,TblMili[[#This Row],[Druid (dp)]]+Races!$F$20),6)  +  0.45 * MIN(MIN(TblMili[[#This Row],[Druid (op)]]+Races!$E$20,TblMili[[#This Row],[Druid (dp)]]+Races!$F$20),6)  +  0.2 * ( MAX(TblMili[[#This Row],[Druid (op)]]+Races!$E$20-6,0) + MAX(TblMili[[#This Row],[Druid (dp)]]+Races!$F$20-6,0) )  -  Races!$I$20</f>
        <v>7.2374999999999998</v>
      </c>
      <c r="CL76" s="262">
        <f ca="1">TblMili[[#This Row],[Mystic bonus]]*TblMili[[#This Row],[Unit 3]]+TblMili[[#This Row],[Druid bonus]]*TblMili[[#This Row],[Unit 4]]</f>
        <v>4836.25</v>
      </c>
      <c r="CM76" s="338">
        <f ca="1">MIN(6,TblMili[[#This Row],[Dryad]]+Races!$F$35)*1.8 +  IF(TblMili[[#This Row],[Dryad]]+Races!$F$35&gt;6,(TblMili[[#This Row],[Dryad]]+Races!$F$35-6)*0.2,0) - Races!$I$19</f>
        <v>3.7500000000000009</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5.4</v>
      </c>
      <c r="CT76" s="338">
        <f ca="1">1.8 * MIN(MAX(TblMili[[#This Row],[Ice Elemental]]+Races!$E$71,Races!$F$71),6)  +  0.45 * MIN(MIN(TblMili[[#This Row],[Ice Elemental]]+Races!$E$71,Races!$F$71),6)  +  0.2 * ( MAX(TblMili[[#This Row],[Ice Elemental]]+Races!$E$71-6,0) + MAX(Races!$F$71-6,0) )  -  Races!$I$71</f>
        <v>0.10500000000000043</v>
      </c>
      <c r="CU76" s="262">
        <f ca="1">TblMili[[#This Row],[Frost Mage bonus]]*TblMili[[#This Row],[Unit 3]]+TblMili[[#This Row],[Ice Elemental bonus]]*TblMili[[#This Row],[Unit 4]]</f>
        <v>738.00000000000023</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6" s="192"/>
      <c r="DA76" s="340">
        <f ca="1">(TblMili[[#This Row],[Wizards]]+2*TblMili[[#This Row],[Archmages]])/TblConstr[[#This Row],[Land]]</f>
        <v>5.8333333333333334E-2</v>
      </c>
      <c r="DB76" s="340">
        <f ca="1">TblMili[[#This Row],[Raw (2)]]*(1+race_wizard_strength+IF(TblMili[[#This Row],[Hour]]&gt;72,tech_magical_weaponry_wiz*TblTech[[#This Row],[3-5]],0))</f>
        <v>5.8333333333333334E-2</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2654</v>
      </c>
      <c r="C77" s="203">
        <f ca="1">TblPop[[#This Row],[Military%]]</f>
        <v>0.26638562681923117</v>
      </c>
      <c r="D77" s="184"/>
      <c r="E77" s="49">
        <f ca="1">OFFSET(TblMili[[#This Row],[Unit 1]],-1,0) + OFFSET(TblMili[[#This Row],[Train Unit 1]],-9,0) - TblMili[[#This Row],[Release Unit 1]]</f>
        <v>0</v>
      </c>
      <c r="F77" s="49">
        <f ca="1">OFFSET(TblMili[[#This Row],[Unit 2]],-1,0) + OFFSET(TblMili[[#This Row],[Train Unit 2]],-9,0)-TblMili[[#This Row],[Release Unit 2]]</f>
        <v>1081</v>
      </c>
      <c r="G77" s="49">
        <f ca="1">OFFSET(TblMili[[#This Row],[Unit 3]],-1,0) + OFFSET(TblMili[[#This Row],[Train Unit 3]],-12,0)-TblMili[[#This Row],[Release Unit 3]]</f>
        <v>125</v>
      </c>
      <c r="H77" s="49">
        <f ca="1">OFFSET(TblMili[[#This Row],[Unit 4]],-1,0) + OFFSET(TblMili[[#This Row],[Train Unit 4]],-12,0)-TblMili[[#This Row],[Release Unit 4]]</f>
        <v>600</v>
      </c>
      <c r="I77" s="49">
        <f ca="1">OFFSET(TblMili[[#This Row],[Spies]],-1,0) + OFFSET(TblMili[[#This Row],[Train Spies]],-12,0) - TblMili[[#This Row],[Release Spies]]</f>
        <v>35</v>
      </c>
      <c r="J77" s="49">
        <f ca="1">OFFSET(TblMili[[#This Row],[Wizards]],-1,0) + OFFSET(TblMili[[#This Row],[Train Wiz]],-12,0) - TblMili[[#This Row],[Release Wizards]]-TblMili[[#This Row],[Train Arch]]</f>
        <v>35</v>
      </c>
      <c r="K77" s="49">
        <f ca="1">OFFSET(TblMili[[#This Row],[Archmages]],-1,0) + OFFSET(TblMili[[#This Row],[Train Arch]],-12,0) - TblMili[[#This Row],[Release Arch]]</f>
        <v>0</v>
      </c>
      <c r="L77" s="184"/>
      <c r="M77" s="113">
        <f ca="1">TblProd[[#This Row],[Networth]]</f>
        <v>29507.5</v>
      </c>
      <c r="N77" s="184"/>
      <c r="O77" s="319">
        <f ca="1">TblMili[[#This Row],[Unit 1]]*spec_op+TblMili[[#This Row],[Unit 3]]*(elite1_base_op+dark_elf*TblMili[[#This Row],[Adept]])+TblMili[[#This Row],[Unit 4]]*(elite2_base_op+icekin*TblMili[[#This Row],[Ice Elemental]]+woodie*TblMili[[#This Row],[Druid (op)]]+orc*TblMili[[#This Row],[Orc]])+kobold*TblMili[[#This Row],[Overlords]]</f>
        <v>3850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7" s="319">
        <f ca="1">TblMili[[#This Row],[Raw]]*(1+TblMili[[#This Row],[Mods_Off]])</f>
        <v>4138.75</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7" s="319">
        <f ca="1">TblMili[[#This Row],[Non Draft]]+TblMili[[#This Row],[Draftees]]</f>
        <v>6571</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7" s="321">
        <f ca="1">TblMili[[#This Row],[Non Draft]] * (1 + TblMili[[#This Row],[Mods_Def]])</f>
        <v>6372.3</v>
      </c>
      <c r="V77" s="319">
        <f ca="1">TblMili[[#This Row],[Draft]] * (1 + TblMili[[#This Row],[Mods_Def]])</f>
        <v>7228.1</v>
      </c>
      <c r="W77" s="319">
        <f ca="1">TblConstr[[#This Row],[Land]]</f>
        <v>600</v>
      </c>
      <c r="X77" s="322"/>
      <c r="Y77" s="327">
        <f ca="1">IF(TblMili[[#This Row],[Set]]&lt;&gt;"",TblMili[[#This Row],[Set]],OFFSET(TblMili[[#This Row],[Draftrate]],-1,0))</f>
        <v>0.9</v>
      </c>
      <c r="Z77" s="113">
        <f ca="1">OFFSET(TblMili[[#This Row],[Draftees]],-1,0)+OFFSET(TblPop[[#This Row],[Draft Growth]],-1,0) - SUM(TblMili[[#This Row],[Train Unit 1]:[Train Wiz]]) - TblMili[[#This Row],[Release Draft]] + SUM(TblMili[[#This Row],[Release Unit 1]:[Release Arch]]) -TblExplore[[#This Row],[Draftees (2)]]</f>
        <v>778</v>
      </c>
      <c r="AA77" s="200"/>
      <c r="AB77" s="234">
        <f ca="1">(TblConstr[[#This Row],[Tot Smi]]+TblConstr[[#This Row],[Dest Smi]])/(TblConstr[[#This Row],[Land]]-TblExplore[[#This Row],[Land Bonus]]*20)</f>
        <v>0.18</v>
      </c>
      <c r="AC77" s="178"/>
      <c r="AD77" s="318">
        <f>TblMili[[#This Row],[Hour]]</f>
        <v>74</v>
      </c>
      <c r="AE77" s="179">
        <f ca="1">TblExplore[[#This Row],[Time]]</f>
        <v>44407.79166666649</v>
      </c>
      <c r="AF77" s="232"/>
      <c r="AG77" s="232"/>
      <c r="AH77" s="232"/>
      <c r="AI77" s="232"/>
      <c r="AJ77" s="232"/>
      <c r="AK77" s="232"/>
      <c r="AL77" s="232"/>
      <c r="AM77" s="184"/>
      <c r="AN77" s="113">
        <f ca="1">TblProd[[#This Row],[Platinum]]</f>
        <v>362880</v>
      </c>
      <c r="AO77" s="113">
        <f ca="1">INDEX(TblProd[[#Headers],[Lumber]]:TblProd[[#This Row],[Ore]],COUNTA(TblProd[[#Headers],[Lumber]]:TblProd[[#This Row],[Lumber]]),MATCH(Military!$AO$2,TblProd[[#Headers],[Lumber]:[Ore]],0))</f>
        <v>20990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44407.79166666649</v>
      </c>
      <c r="AT77" s="113">
        <f ca="1">TblMili[[#This Row],[Draftees]]</f>
        <v>778</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176</v>
      </c>
      <c r="BG77" s="113">
        <f ca="1">ROUNDUP(IF(race="Gnome",1,(1-MIN(TblMili[[#This Row],[Smithies]]*smithy_bonus,smithy_bonus_cap) + tech_3_5*TblTech[[#This Row],[3-5]] + tech_5_3*TblTech[[#This Row],[5-3]] + tech_5_5*TblTech[[#This Row],[5-5]]))*spec_op_ore,0)</f>
        <v>16</v>
      </c>
      <c r="BH77" s="113">
        <f ca="1">ROUNDUP((1-MIN(TblMili[[#This Row],[Smithies]]*smithy_bonus,smithy_bonus_cap) + tech_3_5*TblTech[[#This Row],[3-5]] + tech_5_3*TblTech[[#This Row],[5-3]] + tech_5_5*TblTech[[#This Row],[5-5]])*spec_dp_plat,0)</f>
        <v>176</v>
      </c>
      <c r="BI77" s="113">
        <f ca="1">ROUNDUP(IF(race="Gnome",1,(1-MIN(TblMili[[#This Row],[Smithies]]*smithy_bonus,smithy_bonus_cap) + tech_3_5*TblTech[[#This Row],[3-5]] + tech_5_3*TblTech[[#This Row],[5-3]] + tech_5_5*TblTech[[#This Row],[5-5]]))*spec_dp_ore,0)</f>
        <v>10</v>
      </c>
      <c r="BJ77" s="113">
        <f ca="1">ROUNDUP((1-MIN(TblMili[[#This Row],[Smithies]]*smithy_bonus,smithy_bonus_cap) + tech_3_5*TblTech[[#This Row],[3-5]] + tech_5_3*TblTech[[#This Row],[5-3]] + tech_5_5*TblTech[[#This Row],[5-5]])*elite1_plat,0)</f>
        <v>656</v>
      </c>
      <c r="BK77" s="113">
        <f ca="1">ROUNDUP(IF(race="Gnome",1,(1-MIN(TblMili[[#This Row],[Smithies]]*smithy_bonus,smithy_bonus_cap) + tech_3_5*TblTech[[#This Row],[3-5]] + tech_5_3*TblTech[[#This Row],[5-3]] + tech_5_5*TblTech[[#This Row],[5-5]]))*elite1_ore,0)</f>
        <v>48</v>
      </c>
      <c r="BL77" s="113">
        <f ca="1">ROUNDUP((1-MIN(TblMili[[#This Row],[Smithies]]*smithy_bonus,smithy_bonus_cap) + tech_3_5*TblTech[[#This Row],[3-5]] + tech_5_3*TblTech[[#This Row],[5-3]] + tech_5_5*TblTech[[#This Row],[5-5]])*elite2_plat,0)</f>
        <v>800</v>
      </c>
      <c r="BM77" s="113">
        <f ca="1">ROUNDUP(IF(race="Gnome",1,(1-MIN(TblMili[[#This Row],[Smithies]]*smithy_bonus,smithy_bonus_cap) + tech_3_5*TblTech[[#This Row],[3-5]] + tech_5_3*TblTech[[#This Row],[5-3]] + tech_5_5*TblTech[[#This Row],[5-5]]))*elite2_ore,0)</f>
        <v>64</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0.75</v>
      </c>
      <c r="BS77" s="208">
        <f ca="1">TblMili[[#This Row],[WG''s]]</f>
        <v>0</v>
      </c>
      <c r="BT77" s="323">
        <f ca="1">IF(mystic_cap="none",TblMili[[#This Row],[Hill]]/mystic_bonus,MIN(mystic_cap,TblMili[[#This Row],[Hill]]/mystic_bonus))</f>
        <v>3.75</v>
      </c>
      <c r="BU77" s="323">
        <f ca="1">IF(druid_op_cap="none",TblMili[[#This Row],[Hill]]/druid_op_bonus,MIN(druid_op_cap,TblMili[[#This Row],[Hill]]/druid_op_bonus))</f>
        <v>3.75</v>
      </c>
      <c r="BV77" s="323">
        <f ca="1">IF(druid_dp_cap="none",TblMili[[#This Row],[Hill]]/druid_dp_bonus,MIN(druid_dp_cap,TblMili[[#This Row],[Hill]]/druid_dp_bonus))</f>
        <v>3.75</v>
      </c>
      <c r="BW77" s="323">
        <f ca="1">MIN(dryad_cap,TblMili[[#This Row],[Hill]]/dryad_bonus)</f>
        <v>3.75</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250</v>
      </c>
      <c r="CB77" s="124">
        <f ca="1">MIN(TblMili[[#This Row],[Unit 1]],TblMili[[#This Row],[Unit 4]])*2</f>
        <v>0</v>
      </c>
      <c r="CC77" s="323">
        <f ca="1">MIN(frost_mage_cap,TblMili[[#This Row],[Hill]]/frost_mage_bonus)</f>
        <v>3</v>
      </c>
      <c r="CD77" s="59">
        <f ca="1">MIN(ice_elem_cap,TblMili[[#This Row],[Raw (2)]]*ice_elem_bonus)</f>
        <v>5.8333333333333334E-2</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3.95</v>
      </c>
      <c r="CK7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7" s="113">
        <f ca="1">TblMili[[#This Row],[Mystic bonus]]*TblMili[[#This Row],[Unit 3]]+TblMili[[#This Row],[Druid bonus]]*TblMili[[#This Row],[Unit 4]]</f>
        <v>4836.25</v>
      </c>
      <c r="CM77" s="201">
        <f ca="1">MIN(6,TblMili[[#This Row],[Dryad]]+Races!$F$35)*1.8 +  IF(TblMili[[#This Row],[Dryad]]+Races!$F$35&gt;6,(TblMili[[#This Row],[Dryad]]+Races!$F$35-6)*0.2,0) - Races!$I$19</f>
        <v>3.7500000000000009</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5.4</v>
      </c>
      <c r="CT77" s="201">
        <f ca="1">1.8 * MIN(MAX(TblMili[[#This Row],[Ice Elemental]]+Races!$E$71,Races!$F$71),6)  +  0.45 * MIN(MIN(TblMili[[#This Row],[Ice Elemental]]+Races!$E$71,Races!$F$71),6)  +  0.2 * ( MAX(TblMili[[#This Row],[Ice Elemental]]+Races!$E$71-6,0) + MAX(Races!$F$71-6,0) )  -  Races!$I$71</f>
        <v>0.10500000000000043</v>
      </c>
      <c r="CU77" s="113">
        <f ca="1">TblMili[[#This Row],[Frost Mage bonus]]*TblMili[[#This Row],[Unit 3]]+TblMili[[#This Row],[Ice Elemental bonus]]*TblMili[[#This Row],[Unit 4]]</f>
        <v>738.00000000000023</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7" s="184"/>
      <c r="DA77" s="326">
        <f ca="1">(TblMili[[#This Row],[Wizards]]+2*TblMili[[#This Row],[Archmages]])/TblConstr[[#This Row],[Land]]</f>
        <v>5.8333333333333334E-2</v>
      </c>
      <c r="DB77" s="326">
        <f ca="1">TblMili[[#This Row],[Raw (2)]]*(1+race_wizard_strength+IF(TblMili[[#This Row],[Hour]]&gt;72,tech_magical_weaponry_wiz*TblTech[[#This Row],[3-5]],0))</f>
        <v>5.8333333333333334E-2</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2727</v>
      </c>
      <c r="C78" s="203">
        <f ca="1">TblPop[[#This Row],[Military%]]</f>
        <v>0.27371273712737126</v>
      </c>
      <c r="D78" s="184"/>
      <c r="E78" s="49">
        <f ca="1">OFFSET(TblMili[[#This Row],[Unit 1]],-1,0) + OFFSET(TblMili[[#This Row],[Train Unit 1]],-9,0) - TblMili[[#This Row],[Release Unit 1]]</f>
        <v>0</v>
      </c>
      <c r="F78" s="49">
        <f ca="1">OFFSET(TblMili[[#This Row],[Unit 2]],-1,0) + OFFSET(TblMili[[#This Row],[Train Unit 2]],-9,0)-TblMili[[#This Row],[Release Unit 2]]</f>
        <v>1081</v>
      </c>
      <c r="G78" s="49">
        <f ca="1">OFFSET(TblMili[[#This Row],[Unit 3]],-1,0) + OFFSET(TblMili[[#This Row],[Train Unit 3]],-12,0)-TblMili[[#This Row],[Release Unit 3]]</f>
        <v>125</v>
      </c>
      <c r="H78" s="49">
        <f ca="1">OFFSET(TblMili[[#This Row],[Unit 4]],-1,0) + OFFSET(TblMili[[#This Row],[Train Unit 4]],-12,0)-TblMili[[#This Row],[Release Unit 4]]</f>
        <v>600</v>
      </c>
      <c r="I78" s="49">
        <f ca="1">OFFSET(TblMili[[#This Row],[Spies]],-1,0) + OFFSET(TblMili[[#This Row],[Train Spies]],-12,0) - TblMili[[#This Row],[Release Spies]]</f>
        <v>35</v>
      </c>
      <c r="J78" s="49">
        <f ca="1">OFFSET(TblMili[[#This Row],[Wizards]],-1,0) + OFFSET(TblMili[[#This Row],[Train Wiz]],-12,0) - TblMili[[#This Row],[Release Wizards]]-TblMili[[#This Row],[Train Arch]]</f>
        <v>35</v>
      </c>
      <c r="K78" s="49">
        <f ca="1">OFFSET(TblMili[[#This Row],[Archmages]],-1,0) + OFFSET(TblMili[[#This Row],[Train Arch]],-12,0) - TblMili[[#This Row],[Release Arch]]</f>
        <v>0</v>
      </c>
      <c r="L78" s="184"/>
      <c r="M78" s="113">
        <f ca="1">TblProd[[#This Row],[Networth]]</f>
        <v>29507.5</v>
      </c>
      <c r="N78" s="184"/>
      <c r="O78" s="319">
        <f ca="1">TblMili[[#This Row],[Unit 1]]*spec_op+TblMili[[#This Row],[Unit 3]]*(elite1_base_op+dark_elf*TblMili[[#This Row],[Adept]])+TblMili[[#This Row],[Unit 4]]*(elite2_base_op+icekin*TblMili[[#This Row],[Ice Elemental]]+woodie*TblMili[[#This Row],[Druid (op)]]+orc*TblMili[[#This Row],[Orc]])+kobold*TblMili[[#This Row],[Overlords]]</f>
        <v>3850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8" s="319">
        <f ca="1">TblMili[[#This Row],[Raw]]*(1+TblMili[[#This Row],[Mods_Off]])</f>
        <v>4138.75</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8" s="319">
        <f ca="1">TblMili[[#This Row],[Non Draft]]+TblMili[[#This Row],[Draftees]]</f>
        <v>6644</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8" s="321">
        <f ca="1">TblMili[[#This Row],[Non Draft]] * (1 + TblMili[[#This Row],[Mods_Def]])</f>
        <v>6372.3</v>
      </c>
      <c r="V78" s="319">
        <f ca="1">TblMili[[#This Row],[Draft]] * (1 + TblMili[[#This Row],[Mods_Def]])</f>
        <v>7308.4000000000005</v>
      </c>
      <c r="W78" s="319">
        <f ca="1">TblConstr[[#This Row],[Land]]</f>
        <v>600</v>
      </c>
      <c r="X78" s="322"/>
      <c r="Y78" s="327">
        <f ca="1">IF(TblMili[[#This Row],[Set]]&lt;&gt;"",TblMili[[#This Row],[Set]],OFFSET(TblMili[[#This Row],[Draftrate]],-1,0))</f>
        <v>0.9</v>
      </c>
      <c r="Z78" s="113">
        <f ca="1">OFFSET(TblMili[[#This Row],[Draftees]],-1,0)+OFFSET(TblPop[[#This Row],[Draft Growth]],-1,0) - SUM(TblMili[[#This Row],[Train Unit 1]:[Train Wiz]]) - TblMili[[#This Row],[Release Draft]] + SUM(TblMili[[#This Row],[Release Unit 1]:[Release Arch]]) -TblExplore[[#This Row],[Draftees (2)]]</f>
        <v>851</v>
      </c>
      <c r="AA78" s="200"/>
      <c r="AB78" s="234">
        <f ca="1">(TblConstr[[#This Row],[Tot Smi]]+TblConstr[[#This Row],[Dest Smi]])/(TblConstr[[#This Row],[Land]]-TblExplore[[#This Row],[Land Bonus]]*20)</f>
        <v>0.18</v>
      </c>
      <c r="AC78" s="178"/>
      <c r="AD78" s="318">
        <f>TblMili[[#This Row],[Hour]]</f>
        <v>75</v>
      </c>
      <c r="AE78" s="179">
        <f ca="1">TblExplore[[#This Row],[Time]]</f>
        <v>44407.833333333154</v>
      </c>
      <c r="AF78" s="232"/>
      <c r="AG78" s="232"/>
      <c r="AH78" s="232"/>
      <c r="AI78" s="232"/>
      <c r="AJ78" s="232"/>
      <c r="AK78" s="232"/>
      <c r="AL78" s="232"/>
      <c r="AM78" s="184"/>
      <c r="AN78" s="113">
        <f ca="1">TblProd[[#This Row],[Platinum]]</f>
        <v>397655</v>
      </c>
      <c r="AO78" s="113">
        <f ca="1">INDEX(TblProd[[#Headers],[Lumber]]:TblProd[[#This Row],[Ore]],COUNTA(TblProd[[#Headers],[Lumber]]:TblProd[[#This Row],[Lumber]]),MATCH(Military!$AO$2,TblProd[[#Headers],[Lumber]:[Ore]],0))</f>
        <v>22790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44407.833333333154</v>
      </c>
      <c r="AT78" s="113">
        <f ca="1">TblMili[[#This Row],[Draftees]]</f>
        <v>851</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176</v>
      </c>
      <c r="BG78" s="113">
        <f ca="1">ROUNDUP(IF(race="Gnome",1,(1-MIN(TblMili[[#This Row],[Smithies]]*smithy_bonus,smithy_bonus_cap) + tech_3_5*TblTech[[#This Row],[3-5]] + tech_5_3*TblTech[[#This Row],[5-3]] + tech_5_5*TblTech[[#This Row],[5-5]]))*spec_op_ore,0)</f>
        <v>16</v>
      </c>
      <c r="BH78" s="113">
        <f ca="1">ROUNDUP((1-MIN(TblMili[[#This Row],[Smithies]]*smithy_bonus,smithy_bonus_cap) + tech_3_5*TblTech[[#This Row],[3-5]] + tech_5_3*TblTech[[#This Row],[5-3]] + tech_5_5*TblTech[[#This Row],[5-5]])*spec_dp_plat,0)</f>
        <v>176</v>
      </c>
      <c r="BI78" s="113">
        <f ca="1">ROUNDUP(IF(race="Gnome",1,(1-MIN(TblMili[[#This Row],[Smithies]]*smithy_bonus,smithy_bonus_cap) + tech_3_5*TblTech[[#This Row],[3-5]] + tech_5_3*TblTech[[#This Row],[5-3]] + tech_5_5*TblTech[[#This Row],[5-5]]))*spec_dp_ore,0)</f>
        <v>10</v>
      </c>
      <c r="BJ78" s="113">
        <f ca="1">ROUNDUP((1-MIN(TblMili[[#This Row],[Smithies]]*smithy_bonus,smithy_bonus_cap) + tech_3_5*TblTech[[#This Row],[3-5]] + tech_5_3*TblTech[[#This Row],[5-3]] + tech_5_5*TblTech[[#This Row],[5-5]])*elite1_plat,0)</f>
        <v>656</v>
      </c>
      <c r="BK78" s="113">
        <f ca="1">ROUNDUP(IF(race="Gnome",1,(1-MIN(TblMili[[#This Row],[Smithies]]*smithy_bonus,smithy_bonus_cap) + tech_3_5*TblTech[[#This Row],[3-5]] + tech_5_3*TblTech[[#This Row],[5-3]] + tech_5_5*TblTech[[#This Row],[5-5]]))*elite1_ore,0)</f>
        <v>48</v>
      </c>
      <c r="BL78" s="113">
        <f ca="1">ROUNDUP((1-MIN(TblMili[[#This Row],[Smithies]]*smithy_bonus,smithy_bonus_cap) + tech_3_5*TblTech[[#This Row],[3-5]] + tech_5_3*TblTech[[#This Row],[5-3]] + tech_5_5*TblTech[[#This Row],[5-5]])*elite2_plat,0)</f>
        <v>800</v>
      </c>
      <c r="BM78" s="113">
        <f ca="1">ROUNDUP(IF(race="Gnome",1,(1-MIN(TblMili[[#This Row],[Smithies]]*smithy_bonus,smithy_bonus_cap) + tech_3_5*TblTech[[#This Row],[3-5]] + tech_5_3*TblTech[[#This Row],[5-3]] + tech_5_5*TblTech[[#This Row],[5-5]]))*elite2_ore,0)</f>
        <v>64</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0.75</v>
      </c>
      <c r="BS78" s="208">
        <f ca="1">TblMili[[#This Row],[WG''s]]</f>
        <v>0</v>
      </c>
      <c r="BT78" s="323">
        <f ca="1">IF(mystic_cap="none",TblMili[[#This Row],[Hill]]/mystic_bonus,MIN(mystic_cap,TblMili[[#This Row],[Hill]]/mystic_bonus))</f>
        <v>3.75</v>
      </c>
      <c r="BU78" s="323">
        <f ca="1">IF(druid_op_cap="none",TblMili[[#This Row],[Hill]]/druid_op_bonus,MIN(druid_op_cap,TblMili[[#This Row],[Hill]]/druid_op_bonus))</f>
        <v>3.75</v>
      </c>
      <c r="BV78" s="323">
        <f ca="1">IF(druid_dp_cap="none",TblMili[[#This Row],[Hill]]/druid_dp_bonus,MIN(druid_dp_cap,TblMili[[#This Row],[Hill]]/druid_dp_bonus))</f>
        <v>3.75</v>
      </c>
      <c r="BW78" s="323">
        <f ca="1">MIN(dryad_cap,TblMili[[#This Row],[Hill]]/dryad_bonus)</f>
        <v>3.75</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250</v>
      </c>
      <c r="CB78" s="124">
        <f ca="1">MIN(TblMili[[#This Row],[Unit 1]],TblMili[[#This Row],[Unit 4]])*2</f>
        <v>0</v>
      </c>
      <c r="CC78" s="323">
        <f ca="1">MIN(frost_mage_cap,TblMili[[#This Row],[Hill]]/frost_mage_bonus)</f>
        <v>3</v>
      </c>
      <c r="CD78" s="59">
        <f ca="1">MIN(ice_elem_cap,TblMili[[#This Row],[Raw (2)]]*ice_elem_bonus)</f>
        <v>5.8333333333333334E-2</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3.95</v>
      </c>
      <c r="CK7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8" s="113">
        <f ca="1">TblMili[[#This Row],[Mystic bonus]]*TblMili[[#This Row],[Unit 3]]+TblMili[[#This Row],[Druid bonus]]*TblMili[[#This Row],[Unit 4]]</f>
        <v>4836.25</v>
      </c>
      <c r="CM78" s="201">
        <f ca="1">MIN(6,TblMili[[#This Row],[Dryad]]+Races!$F$35)*1.8 +  IF(TblMili[[#This Row],[Dryad]]+Races!$F$35&gt;6,(TblMili[[#This Row],[Dryad]]+Races!$F$35-6)*0.2,0) - Races!$I$19</f>
        <v>3.7500000000000009</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5.4</v>
      </c>
      <c r="CT78" s="201">
        <f ca="1">1.8 * MIN(MAX(TblMili[[#This Row],[Ice Elemental]]+Races!$E$71,Races!$F$71),6)  +  0.45 * MIN(MIN(TblMili[[#This Row],[Ice Elemental]]+Races!$E$71,Races!$F$71),6)  +  0.2 * ( MAX(TblMili[[#This Row],[Ice Elemental]]+Races!$E$71-6,0) + MAX(Races!$F$71-6,0) )  -  Races!$I$71</f>
        <v>0.10500000000000043</v>
      </c>
      <c r="CU78" s="113">
        <f ca="1">TblMili[[#This Row],[Frost Mage bonus]]*TblMili[[#This Row],[Unit 3]]+TblMili[[#This Row],[Ice Elemental bonus]]*TblMili[[#This Row],[Unit 4]]</f>
        <v>738.00000000000023</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8" s="184"/>
      <c r="DA78" s="326">
        <f ca="1">(TblMili[[#This Row],[Wizards]]+2*TblMili[[#This Row],[Archmages]])/TblConstr[[#This Row],[Land]]</f>
        <v>5.8333333333333334E-2</v>
      </c>
      <c r="DB78" s="326">
        <f ca="1">TblMili[[#This Row],[Raw (2)]]*(1+race_wizard_strength+IF(TblMili[[#This Row],[Hour]]&gt;72,tech_magical_weaponry_wiz*TblTech[[#This Row],[3-5]],0))</f>
        <v>5.8333333333333334E-2</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2799</v>
      </c>
      <c r="C79" s="203">
        <f ca="1">TblPop[[#This Row],[Military%]]</f>
        <v>0.28093947606142727</v>
      </c>
      <c r="D79" s="184"/>
      <c r="E79" s="49">
        <f ca="1">OFFSET(TblMili[[#This Row],[Unit 1]],-1,0) + OFFSET(TblMili[[#This Row],[Train Unit 1]],-9,0) - TblMili[[#This Row],[Release Unit 1]]</f>
        <v>0</v>
      </c>
      <c r="F79" s="49">
        <f ca="1">OFFSET(TblMili[[#This Row],[Unit 2]],-1,0) + OFFSET(TblMili[[#This Row],[Train Unit 2]],-9,0)-TblMili[[#This Row],[Release Unit 2]]</f>
        <v>1081</v>
      </c>
      <c r="G79" s="49">
        <f ca="1">OFFSET(TblMili[[#This Row],[Unit 3]],-1,0) + OFFSET(TblMili[[#This Row],[Train Unit 3]],-12,0)-TblMili[[#This Row],[Release Unit 3]]</f>
        <v>125</v>
      </c>
      <c r="H79" s="49">
        <f ca="1">OFFSET(TblMili[[#This Row],[Unit 4]],-1,0) + OFFSET(TblMili[[#This Row],[Train Unit 4]],-12,0)-TblMili[[#This Row],[Release Unit 4]]</f>
        <v>600</v>
      </c>
      <c r="I79" s="49">
        <f ca="1">OFFSET(TblMili[[#This Row],[Spies]],-1,0) + OFFSET(TblMili[[#This Row],[Train Spies]],-12,0) - TblMili[[#This Row],[Release Spies]]</f>
        <v>35</v>
      </c>
      <c r="J79" s="49">
        <f ca="1">OFFSET(TblMili[[#This Row],[Wizards]],-1,0) + OFFSET(TblMili[[#This Row],[Train Wiz]],-12,0) - TblMili[[#This Row],[Release Wizards]]-TblMili[[#This Row],[Train Arch]]</f>
        <v>35</v>
      </c>
      <c r="K79" s="49">
        <f ca="1">OFFSET(TblMili[[#This Row],[Archmages]],-1,0) + OFFSET(TblMili[[#This Row],[Train Arch]],-12,0) - TblMili[[#This Row],[Release Arch]]</f>
        <v>0</v>
      </c>
      <c r="L79" s="184"/>
      <c r="M79" s="113">
        <f ca="1">TblProd[[#This Row],[Networth]]</f>
        <v>29507.5</v>
      </c>
      <c r="N79" s="184"/>
      <c r="O79" s="319">
        <f ca="1">TblMili[[#This Row],[Unit 1]]*spec_op+TblMili[[#This Row],[Unit 3]]*(elite1_base_op+dark_elf*TblMili[[#This Row],[Adept]])+TblMili[[#This Row],[Unit 4]]*(elite2_base_op+icekin*TblMili[[#This Row],[Ice Elemental]]+woodie*TblMili[[#This Row],[Druid (op)]]+orc*TblMili[[#This Row],[Orc]])+kobold*TblMili[[#This Row],[Overlords]]</f>
        <v>3850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9" s="319">
        <f ca="1">TblMili[[#This Row],[Raw]]*(1+TblMili[[#This Row],[Mods_Off]])</f>
        <v>4138.75</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9" s="319">
        <f ca="1">TblMili[[#This Row],[Non Draft]]+TblMili[[#This Row],[Draftees]]</f>
        <v>6716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9" s="321">
        <f ca="1">TblMili[[#This Row],[Non Draft]] * (1 + TblMili[[#This Row],[Mods_Def]])</f>
        <v>6372.3</v>
      </c>
      <c r="V79" s="319">
        <f ca="1">TblMili[[#This Row],[Draft]] * (1 + TblMili[[#This Row],[Mods_Def]])</f>
        <v>7387.6</v>
      </c>
      <c r="W79" s="319">
        <f ca="1">TblConstr[[#This Row],[Land]]</f>
        <v>600</v>
      </c>
      <c r="X79" s="322"/>
      <c r="Y79" s="327">
        <f ca="1">IF(TblMili[[#This Row],[Set]]&lt;&gt;"",TblMili[[#This Row],[Set]],OFFSET(TblMili[[#This Row],[Draftrate]],-1,0))</f>
        <v>0.9</v>
      </c>
      <c r="Z79" s="113">
        <f ca="1">OFFSET(TblMili[[#This Row],[Draftees]],-1,0)+OFFSET(TblPop[[#This Row],[Draft Growth]],-1,0) - SUM(TblMili[[#This Row],[Train Unit 1]:[Train Wiz]]) - TblMili[[#This Row],[Release Draft]] + SUM(TblMili[[#This Row],[Release Unit 1]:[Release Arch]]) -TblExplore[[#This Row],[Draftees (2)]]</f>
        <v>923</v>
      </c>
      <c r="AA79" s="200"/>
      <c r="AB79" s="234">
        <f ca="1">(TblConstr[[#This Row],[Tot Smi]]+TblConstr[[#This Row],[Dest Smi]])/(TblConstr[[#This Row],[Land]]-TblExplore[[#This Row],[Land Bonus]]*20)</f>
        <v>0.18</v>
      </c>
      <c r="AC79" s="178"/>
      <c r="AD79" s="318">
        <f>TblMili[[#This Row],[Hour]]</f>
        <v>76</v>
      </c>
      <c r="AE79" s="179">
        <f ca="1">TblExplore[[#This Row],[Time]]</f>
        <v>44407.874999999818</v>
      </c>
      <c r="AF79" s="232"/>
      <c r="AG79" s="232"/>
      <c r="AH79" s="232"/>
      <c r="AI79" s="232"/>
      <c r="AJ79" s="232"/>
      <c r="AK79" s="232"/>
      <c r="AL79" s="232"/>
      <c r="AM79" s="184"/>
      <c r="AN79" s="113">
        <f ca="1">TblProd[[#This Row],[Platinum]]</f>
        <v>432213</v>
      </c>
      <c r="AO79" s="113">
        <f ca="1">INDEX(TblProd[[#Headers],[Lumber]]:TblProd[[#This Row],[Ore]],COUNTA(TblProd[[#Headers],[Lumber]]:TblProd[[#This Row],[Lumber]]),MATCH(Military!$AO$2,TblProd[[#Headers],[Lumber]:[Ore]],0))</f>
        <v>24590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44407.874999999818</v>
      </c>
      <c r="AT79" s="113">
        <f ca="1">TblMili[[#This Row],[Draftees]]</f>
        <v>923</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176</v>
      </c>
      <c r="BG79" s="113">
        <f ca="1">ROUNDUP(IF(race="Gnome",1,(1-MIN(TblMili[[#This Row],[Smithies]]*smithy_bonus,smithy_bonus_cap) + tech_3_5*TblTech[[#This Row],[3-5]] + tech_5_3*TblTech[[#This Row],[5-3]] + tech_5_5*TblTech[[#This Row],[5-5]]))*spec_op_ore,0)</f>
        <v>16</v>
      </c>
      <c r="BH79" s="113">
        <f ca="1">ROUNDUP((1-MIN(TblMili[[#This Row],[Smithies]]*smithy_bonus,smithy_bonus_cap) + tech_3_5*TblTech[[#This Row],[3-5]] + tech_5_3*TblTech[[#This Row],[5-3]] + tech_5_5*TblTech[[#This Row],[5-5]])*spec_dp_plat,0)</f>
        <v>176</v>
      </c>
      <c r="BI79" s="113">
        <f ca="1">ROUNDUP(IF(race="Gnome",1,(1-MIN(TblMili[[#This Row],[Smithies]]*smithy_bonus,smithy_bonus_cap) + tech_3_5*TblTech[[#This Row],[3-5]] + tech_5_3*TblTech[[#This Row],[5-3]] + tech_5_5*TblTech[[#This Row],[5-5]]))*spec_dp_ore,0)</f>
        <v>10</v>
      </c>
      <c r="BJ79" s="113">
        <f ca="1">ROUNDUP((1-MIN(TblMili[[#This Row],[Smithies]]*smithy_bonus,smithy_bonus_cap) + tech_3_5*TblTech[[#This Row],[3-5]] + tech_5_3*TblTech[[#This Row],[5-3]] + tech_5_5*TblTech[[#This Row],[5-5]])*elite1_plat,0)</f>
        <v>656</v>
      </c>
      <c r="BK79" s="113">
        <f ca="1">ROUNDUP(IF(race="Gnome",1,(1-MIN(TblMili[[#This Row],[Smithies]]*smithy_bonus,smithy_bonus_cap) + tech_3_5*TblTech[[#This Row],[3-5]] + tech_5_3*TblTech[[#This Row],[5-3]] + tech_5_5*TblTech[[#This Row],[5-5]]))*elite1_ore,0)</f>
        <v>48</v>
      </c>
      <c r="BL79" s="113">
        <f ca="1">ROUNDUP((1-MIN(TblMili[[#This Row],[Smithies]]*smithy_bonus,smithy_bonus_cap) + tech_3_5*TblTech[[#This Row],[3-5]] + tech_5_3*TblTech[[#This Row],[5-3]] + tech_5_5*TblTech[[#This Row],[5-5]])*elite2_plat,0)</f>
        <v>800</v>
      </c>
      <c r="BM79" s="113">
        <f ca="1">ROUNDUP(IF(race="Gnome",1,(1-MIN(TblMili[[#This Row],[Smithies]]*smithy_bonus,smithy_bonus_cap) + tech_3_5*TblTech[[#This Row],[3-5]] + tech_5_3*TblTech[[#This Row],[5-3]] + tech_5_5*TblTech[[#This Row],[5-5]]))*elite2_ore,0)</f>
        <v>64</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0.75</v>
      </c>
      <c r="BS79" s="208">
        <f ca="1">TblMili[[#This Row],[WG''s]]</f>
        <v>0</v>
      </c>
      <c r="BT79" s="323">
        <f ca="1">IF(mystic_cap="none",TblMili[[#This Row],[Hill]]/mystic_bonus,MIN(mystic_cap,TblMili[[#This Row],[Hill]]/mystic_bonus))</f>
        <v>3.75</v>
      </c>
      <c r="BU79" s="323">
        <f ca="1">IF(druid_op_cap="none",TblMili[[#This Row],[Hill]]/druid_op_bonus,MIN(druid_op_cap,TblMili[[#This Row],[Hill]]/druid_op_bonus))</f>
        <v>3.75</v>
      </c>
      <c r="BV79" s="323">
        <f ca="1">IF(druid_dp_cap="none",TblMili[[#This Row],[Hill]]/druid_dp_bonus,MIN(druid_dp_cap,TblMili[[#This Row],[Hill]]/druid_dp_bonus))</f>
        <v>3.75</v>
      </c>
      <c r="BW79" s="323">
        <f ca="1">MIN(dryad_cap,TblMili[[#This Row],[Hill]]/dryad_bonus)</f>
        <v>3.75</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250</v>
      </c>
      <c r="CB79" s="124">
        <f ca="1">MIN(TblMili[[#This Row],[Unit 1]],TblMili[[#This Row],[Unit 4]])*2</f>
        <v>0</v>
      </c>
      <c r="CC79" s="323">
        <f ca="1">MIN(frost_mage_cap,TblMili[[#This Row],[Hill]]/frost_mage_bonus)</f>
        <v>3</v>
      </c>
      <c r="CD79" s="59">
        <f ca="1">MIN(ice_elem_cap,TblMili[[#This Row],[Raw (2)]]*ice_elem_bonus)</f>
        <v>5.8333333333333334E-2</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3.95</v>
      </c>
      <c r="CK7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9" s="113">
        <f ca="1">TblMili[[#This Row],[Mystic bonus]]*TblMili[[#This Row],[Unit 3]]+TblMili[[#This Row],[Druid bonus]]*TblMili[[#This Row],[Unit 4]]</f>
        <v>4836.25</v>
      </c>
      <c r="CM79" s="201">
        <f ca="1">MIN(6,TblMili[[#This Row],[Dryad]]+Races!$F$35)*1.8 +  IF(TblMili[[#This Row],[Dryad]]+Races!$F$35&gt;6,(TblMili[[#This Row],[Dryad]]+Races!$F$35-6)*0.2,0) - Races!$I$19</f>
        <v>3.7500000000000009</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5.4</v>
      </c>
      <c r="CT79" s="201">
        <f ca="1">1.8 * MIN(MAX(TblMili[[#This Row],[Ice Elemental]]+Races!$E$71,Races!$F$71),6)  +  0.45 * MIN(MIN(TblMili[[#This Row],[Ice Elemental]]+Races!$E$71,Races!$F$71),6)  +  0.2 * ( MAX(TblMili[[#This Row],[Ice Elemental]]+Races!$E$71-6,0) + MAX(Races!$F$71-6,0) )  -  Races!$I$71</f>
        <v>0.10500000000000043</v>
      </c>
      <c r="CU79" s="113">
        <f ca="1">TblMili[[#This Row],[Frost Mage bonus]]*TblMili[[#This Row],[Unit 3]]+TblMili[[#This Row],[Ice Elemental bonus]]*TblMili[[#This Row],[Unit 4]]</f>
        <v>738.00000000000023</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9" s="184"/>
      <c r="DA79" s="326">
        <f ca="1">(TblMili[[#This Row],[Wizards]]+2*TblMili[[#This Row],[Archmages]])/TblConstr[[#This Row],[Land]]</f>
        <v>5.8333333333333334E-2</v>
      </c>
      <c r="DB79" s="326">
        <f ca="1">TblMili[[#This Row],[Raw (2)]]*(1+race_wizard_strength+IF(TblMili[[#This Row],[Hour]]&gt;72,tech_magical_weaponry_wiz*TblTech[[#This Row],[3-5]],0))</f>
        <v>5.8333333333333334E-2</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2871</v>
      </c>
      <c r="C80" s="203">
        <f ca="1">TblPop[[#This Row],[Military%]]</f>
        <v>0.28816621499548328</v>
      </c>
      <c r="D80" s="184"/>
      <c r="E80" s="49">
        <f ca="1">OFFSET(TblMili[[#This Row],[Unit 1]],-1,0) + OFFSET(TblMili[[#This Row],[Train Unit 1]],-9,0) - TblMili[[#This Row],[Release Unit 1]]</f>
        <v>0</v>
      </c>
      <c r="F80" s="49">
        <f ca="1">OFFSET(TblMili[[#This Row],[Unit 2]],-1,0) + OFFSET(TblMili[[#This Row],[Train Unit 2]],-9,0)-TblMili[[#This Row],[Release Unit 2]]</f>
        <v>1081</v>
      </c>
      <c r="G80" s="49">
        <f ca="1">OFFSET(TblMili[[#This Row],[Unit 3]],-1,0) + OFFSET(TblMili[[#This Row],[Train Unit 3]],-12,0)-TblMili[[#This Row],[Release Unit 3]]</f>
        <v>125</v>
      </c>
      <c r="H80" s="49">
        <f ca="1">OFFSET(TblMili[[#This Row],[Unit 4]],-1,0) + OFFSET(TblMili[[#This Row],[Train Unit 4]],-12,0)-TblMili[[#This Row],[Release Unit 4]]</f>
        <v>600</v>
      </c>
      <c r="I80" s="49">
        <f ca="1">OFFSET(TblMili[[#This Row],[Spies]],-1,0) + OFFSET(TblMili[[#This Row],[Train Spies]],-12,0) - TblMili[[#This Row],[Release Spies]]</f>
        <v>35</v>
      </c>
      <c r="J80" s="49">
        <f ca="1">OFFSET(TblMili[[#This Row],[Wizards]],-1,0) + OFFSET(TblMili[[#This Row],[Train Wiz]],-12,0) - TblMili[[#This Row],[Release Wizards]]-TblMili[[#This Row],[Train Arch]]</f>
        <v>35</v>
      </c>
      <c r="K80" s="49">
        <f ca="1">OFFSET(TblMili[[#This Row],[Archmages]],-1,0) + OFFSET(TblMili[[#This Row],[Train Arch]],-12,0) - TblMili[[#This Row],[Release Arch]]</f>
        <v>0</v>
      </c>
      <c r="L80" s="184"/>
      <c r="M80" s="113">
        <f ca="1">TblProd[[#This Row],[Networth]]</f>
        <v>29507.5</v>
      </c>
      <c r="N80" s="184"/>
      <c r="O80" s="319">
        <f ca="1">TblMili[[#This Row],[Unit 1]]*spec_op+TblMili[[#This Row],[Unit 3]]*(elite1_base_op+dark_elf*TblMili[[#This Row],[Adept]])+TblMili[[#This Row],[Unit 4]]*(elite2_base_op+icekin*TblMili[[#This Row],[Ice Elemental]]+woodie*TblMili[[#This Row],[Druid (op)]]+orc*TblMili[[#This Row],[Orc]])+kobold*TblMili[[#This Row],[Overlords]]</f>
        <v>3850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0" s="319">
        <f ca="1">TblMili[[#This Row],[Raw]]*(1+TblMili[[#This Row],[Mods_Off]])</f>
        <v>4138.75</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0" s="319">
        <f ca="1">TblMili[[#This Row],[Non Draft]]+TblMili[[#This Row],[Draftees]]</f>
        <v>6788</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0" s="321">
        <f ca="1">TblMili[[#This Row],[Non Draft]] * (1 + TblMili[[#This Row],[Mods_Def]])</f>
        <v>6372.3</v>
      </c>
      <c r="V80" s="319">
        <f ca="1">TblMili[[#This Row],[Draft]] * (1 + TblMili[[#This Row],[Mods_Def]])</f>
        <v>7466.8</v>
      </c>
      <c r="W80" s="319">
        <f ca="1">TblConstr[[#This Row],[Land]]</f>
        <v>600</v>
      </c>
      <c r="X80" s="322"/>
      <c r="Y80" s="327">
        <f ca="1">IF(TblMili[[#This Row],[Set]]&lt;&gt;"",TblMili[[#This Row],[Set]],OFFSET(TblMili[[#This Row],[Draftrate]],-1,0))</f>
        <v>0.9</v>
      </c>
      <c r="Z80" s="113">
        <f ca="1">OFFSET(TblMili[[#This Row],[Draftees]],-1,0)+OFFSET(TblPop[[#This Row],[Draft Growth]],-1,0) - SUM(TblMili[[#This Row],[Train Unit 1]:[Train Wiz]]) - TblMili[[#This Row],[Release Draft]] + SUM(TblMili[[#This Row],[Release Unit 1]:[Release Arch]]) -TblExplore[[#This Row],[Draftees (2)]]</f>
        <v>995</v>
      </c>
      <c r="AA80" s="200"/>
      <c r="AB80" s="234">
        <f ca="1">(TblConstr[[#This Row],[Tot Smi]]+TblConstr[[#This Row],[Dest Smi]])/(TblConstr[[#This Row],[Land]]-TblExplore[[#This Row],[Land Bonus]]*20)</f>
        <v>0.18</v>
      </c>
      <c r="AC80" s="178"/>
      <c r="AD80" s="318">
        <f>TblMili[[#This Row],[Hour]]</f>
        <v>77</v>
      </c>
      <c r="AE80" s="179">
        <f ca="1">TblExplore[[#This Row],[Time]]</f>
        <v>44407.916666666482</v>
      </c>
      <c r="AF80" s="232"/>
      <c r="AG80" s="232"/>
      <c r="AH80" s="232"/>
      <c r="AI80" s="232"/>
      <c r="AJ80" s="232"/>
      <c r="AK80" s="232"/>
      <c r="AL80" s="232"/>
      <c r="AM80" s="184"/>
      <c r="AN80" s="113">
        <f ca="1">TblProd[[#This Row],[Platinum]]</f>
        <v>463435</v>
      </c>
      <c r="AO80" s="113">
        <f ca="1">INDEX(TblProd[[#Headers],[Lumber]]:TblProd[[#This Row],[Ore]],COUNTA(TblProd[[#Headers],[Lumber]]:TblProd[[#This Row],[Lumber]]),MATCH(Military!$AO$2,TblProd[[#Headers],[Lumber]:[Ore]],0))</f>
        <v>26390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44407.916666666482</v>
      </c>
      <c r="AT80" s="113">
        <f ca="1">TblMili[[#This Row],[Draftees]]</f>
        <v>995</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176</v>
      </c>
      <c r="BG80" s="113">
        <f ca="1">ROUNDUP(IF(race="Gnome",1,(1-MIN(TblMili[[#This Row],[Smithies]]*smithy_bonus,smithy_bonus_cap) + tech_3_5*TblTech[[#This Row],[3-5]] + tech_5_3*TblTech[[#This Row],[5-3]] + tech_5_5*TblTech[[#This Row],[5-5]]))*spec_op_ore,0)</f>
        <v>16</v>
      </c>
      <c r="BH80" s="113">
        <f ca="1">ROUNDUP((1-MIN(TblMili[[#This Row],[Smithies]]*smithy_bonus,smithy_bonus_cap) + tech_3_5*TblTech[[#This Row],[3-5]] + tech_5_3*TblTech[[#This Row],[5-3]] + tech_5_5*TblTech[[#This Row],[5-5]])*spec_dp_plat,0)</f>
        <v>176</v>
      </c>
      <c r="BI80" s="113">
        <f ca="1">ROUNDUP(IF(race="Gnome",1,(1-MIN(TblMili[[#This Row],[Smithies]]*smithy_bonus,smithy_bonus_cap) + tech_3_5*TblTech[[#This Row],[3-5]] + tech_5_3*TblTech[[#This Row],[5-3]] + tech_5_5*TblTech[[#This Row],[5-5]]))*spec_dp_ore,0)</f>
        <v>10</v>
      </c>
      <c r="BJ80" s="113">
        <f ca="1">ROUNDUP((1-MIN(TblMili[[#This Row],[Smithies]]*smithy_bonus,smithy_bonus_cap) + tech_3_5*TblTech[[#This Row],[3-5]] + tech_5_3*TblTech[[#This Row],[5-3]] + tech_5_5*TblTech[[#This Row],[5-5]])*elite1_plat,0)</f>
        <v>656</v>
      </c>
      <c r="BK80" s="113">
        <f ca="1">ROUNDUP(IF(race="Gnome",1,(1-MIN(TblMili[[#This Row],[Smithies]]*smithy_bonus,smithy_bonus_cap) + tech_3_5*TblTech[[#This Row],[3-5]] + tech_5_3*TblTech[[#This Row],[5-3]] + tech_5_5*TblTech[[#This Row],[5-5]]))*elite1_ore,0)</f>
        <v>48</v>
      </c>
      <c r="BL80" s="113">
        <f ca="1">ROUNDUP((1-MIN(TblMili[[#This Row],[Smithies]]*smithy_bonus,smithy_bonus_cap) + tech_3_5*TblTech[[#This Row],[3-5]] + tech_5_3*TblTech[[#This Row],[5-3]] + tech_5_5*TblTech[[#This Row],[5-5]])*elite2_plat,0)</f>
        <v>800</v>
      </c>
      <c r="BM80" s="113">
        <f ca="1">ROUNDUP(IF(race="Gnome",1,(1-MIN(TblMili[[#This Row],[Smithies]]*smithy_bonus,smithy_bonus_cap) + tech_3_5*TblTech[[#This Row],[3-5]] + tech_5_3*TblTech[[#This Row],[5-3]] + tech_5_5*TblTech[[#This Row],[5-5]]))*elite2_ore,0)</f>
        <v>64</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0.75</v>
      </c>
      <c r="BS80" s="208">
        <f ca="1">TblMili[[#This Row],[WG''s]]</f>
        <v>0</v>
      </c>
      <c r="BT80" s="323">
        <f ca="1">IF(mystic_cap="none",TblMili[[#This Row],[Hill]]/mystic_bonus,MIN(mystic_cap,TblMili[[#This Row],[Hill]]/mystic_bonus))</f>
        <v>3.75</v>
      </c>
      <c r="BU80" s="323">
        <f ca="1">IF(druid_op_cap="none",TblMili[[#This Row],[Hill]]/druid_op_bonus,MIN(druid_op_cap,TblMili[[#This Row],[Hill]]/druid_op_bonus))</f>
        <v>3.75</v>
      </c>
      <c r="BV80" s="323">
        <f ca="1">IF(druid_dp_cap="none",TblMili[[#This Row],[Hill]]/druid_dp_bonus,MIN(druid_dp_cap,TblMili[[#This Row],[Hill]]/druid_dp_bonus))</f>
        <v>3.75</v>
      </c>
      <c r="BW80" s="323">
        <f ca="1">MIN(dryad_cap,TblMili[[#This Row],[Hill]]/dryad_bonus)</f>
        <v>3.75</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250</v>
      </c>
      <c r="CB80" s="124">
        <f ca="1">MIN(TblMili[[#This Row],[Unit 1]],TblMili[[#This Row],[Unit 4]])*2</f>
        <v>0</v>
      </c>
      <c r="CC80" s="323">
        <f ca="1">MIN(frost_mage_cap,TblMili[[#This Row],[Hill]]/frost_mage_bonus)</f>
        <v>3</v>
      </c>
      <c r="CD80" s="59">
        <f ca="1">MIN(ice_elem_cap,TblMili[[#This Row],[Raw (2)]]*ice_elem_bonus)</f>
        <v>5.8333333333333334E-2</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3.95</v>
      </c>
      <c r="CK8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0" s="113">
        <f ca="1">TblMili[[#This Row],[Mystic bonus]]*TblMili[[#This Row],[Unit 3]]+TblMili[[#This Row],[Druid bonus]]*TblMili[[#This Row],[Unit 4]]</f>
        <v>4836.25</v>
      </c>
      <c r="CM80" s="201">
        <f ca="1">MIN(6,TblMili[[#This Row],[Dryad]]+Races!$F$35)*1.8 +  IF(TblMili[[#This Row],[Dryad]]+Races!$F$35&gt;6,(TblMili[[#This Row],[Dryad]]+Races!$F$35-6)*0.2,0) - Races!$I$19</f>
        <v>3.7500000000000009</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5.4</v>
      </c>
      <c r="CT80" s="201">
        <f ca="1">1.8 * MIN(MAX(TblMili[[#This Row],[Ice Elemental]]+Races!$E$71,Races!$F$71),6)  +  0.45 * MIN(MIN(TblMili[[#This Row],[Ice Elemental]]+Races!$E$71,Races!$F$71),6)  +  0.2 * ( MAX(TblMili[[#This Row],[Ice Elemental]]+Races!$E$71-6,0) + MAX(Races!$F$71-6,0) )  -  Races!$I$71</f>
        <v>0.10500000000000043</v>
      </c>
      <c r="CU80" s="113">
        <f ca="1">TblMili[[#This Row],[Frost Mage bonus]]*TblMili[[#This Row],[Unit 3]]+TblMili[[#This Row],[Ice Elemental bonus]]*TblMili[[#This Row],[Unit 4]]</f>
        <v>738.00000000000023</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0" s="184"/>
      <c r="DA80" s="326">
        <f ca="1">(TblMili[[#This Row],[Wizards]]+2*TblMili[[#This Row],[Archmages]])/TblConstr[[#This Row],[Land]]</f>
        <v>5.8333333333333334E-2</v>
      </c>
      <c r="DB80" s="326">
        <f ca="1">TblMili[[#This Row],[Raw (2)]]*(1+race_wizard_strength+IF(TblMili[[#This Row],[Hour]]&gt;72,tech_magical_weaponry_wiz*TblTech[[#This Row],[3-5]],0))</f>
        <v>5.8333333333333334E-2</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2942</v>
      </c>
      <c r="C81" s="203">
        <f ca="1">TblPop[[#This Row],[Military%]]</f>
        <v>0.29529258255545521</v>
      </c>
      <c r="D81" s="184"/>
      <c r="E81" s="49">
        <f ca="1">OFFSET(TblMili[[#This Row],[Unit 1]],-1,0) + OFFSET(TblMili[[#This Row],[Train Unit 1]],-9,0) - TblMili[[#This Row],[Release Unit 1]]</f>
        <v>0</v>
      </c>
      <c r="F81" s="49">
        <f ca="1">OFFSET(TblMili[[#This Row],[Unit 2]],-1,0) + OFFSET(TblMili[[#This Row],[Train Unit 2]],-9,0)-TblMili[[#This Row],[Release Unit 2]]</f>
        <v>1081</v>
      </c>
      <c r="G81" s="49">
        <f ca="1">OFFSET(TblMili[[#This Row],[Unit 3]],-1,0) + OFFSET(TblMili[[#This Row],[Train Unit 3]],-12,0)-TblMili[[#This Row],[Release Unit 3]]</f>
        <v>125</v>
      </c>
      <c r="H81" s="49">
        <f ca="1">OFFSET(TblMili[[#This Row],[Unit 4]],-1,0) + OFFSET(TblMili[[#This Row],[Train Unit 4]],-12,0)-TblMili[[#This Row],[Release Unit 4]]</f>
        <v>600</v>
      </c>
      <c r="I81" s="49">
        <f ca="1">OFFSET(TblMili[[#This Row],[Spies]],-1,0) + OFFSET(TblMili[[#This Row],[Train Spies]],-12,0) - TblMili[[#This Row],[Release Spies]]</f>
        <v>35</v>
      </c>
      <c r="J81" s="49">
        <f ca="1">OFFSET(TblMili[[#This Row],[Wizards]],-1,0) + OFFSET(TblMili[[#This Row],[Train Wiz]],-12,0) - TblMili[[#This Row],[Release Wizards]]-TblMili[[#This Row],[Train Arch]]</f>
        <v>35</v>
      </c>
      <c r="K81" s="49">
        <f ca="1">OFFSET(TblMili[[#This Row],[Archmages]],-1,0) + OFFSET(TblMili[[#This Row],[Train Arch]],-12,0) - TblMili[[#This Row],[Release Arch]]</f>
        <v>0</v>
      </c>
      <c r="L81" s="184"/>
      <c r="M81" s="113">
        <f ca="1">TblProd[[#This Row],[Networth]]</f>
        <v>29507.5</v>
      </c>
      <c r="N81" s="184"/>
      <c r="O81" s="319">
        <f ca="1">TblMili[[#This Row],[Unit 1]]*spec_op+TblMili[[#This Row],[Unit 3]]*(elite1_base_op+dark_elf*TblMili[[#This Row],[Adept]])+TblMili[[#This Row],[Unit 4]]*(elite2_base_op+icekin*TblMili[[#This Row],[Ice Elemental]]+woodie*TblMili[[#This Row],[Druid (op)]]+orc*TblMili[[#This Row],[Orc]])+kobold*TblMili[[#This Row],[Overlords]]</f>
        <v>3850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1" s="319">
        <f ca="1">TblMili[[#This Row],[Raw]]*(1+TblMili[[#This Row],[Mods_Off]])</f>
        <v>4138.75</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1" s="319">
        <f ca="1">TblMili[[#This Row],[Non Draft]]+TblMili[[#This Row],[Draftees]]</f>
        <v>6859</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1" s="321">
        <f ca="1">TblMili[[#This Row],[Non Draft]] * (1 + TblMili[[#This Row],[Mods_Def]])</f>
        <v>6372.3</v>
      </c>
      <c r="V81" s="319">
        <f ca="1">TblMili[[#This Row],[Draft]] * (1 + TblMili[[#This Row],[Mods_Def]])</f>
        <v>7544.9000000000005</v>
      </c>
      <c r="W81" s="319">
        <f ca="1">TblConstr[[#This Row],[Land]]</f>
        <v>600</v>
      </c>
      <c r="X81" s="322"/>
      <c r="Y81" s="327">
        <f ca="1">IF(TblMili[[#This Row],[Set]]&lt;&gt;"",TblMili[[#This Row],[Set]],OFFSET(TblMili[[#This Row],[Draftrate]],-1,0))</f>
        <v>0.9</v>
      </c>
      <c r="Z81" s="113">
        <f ca="1">OFFSET(TblMili[[#This Row],[Draftees]],-1,0)+OFFSET(TblPop[[#This Row],[Draft Growth]],-1,0) - SUM(TblMili[[#This Row],[Train Unit 1]:[Train Wiz]]) - TblMili[[#This Row],[Release Draft]] + SUM(TblMili[[#This Row],[Release Unit 1]:[Release Arch]]) -TblExplore[[#This Row],[Draftees (2)]]</f>
        <v>1066</v>
      </c>
      <c r="AA81" s="200"/>
      <c r="AB81" s="234">
        <f ca="1">(TblConstr[[#This Row],[Tot Smi]]+TblConstr[[#This Row],[Dest Smi]])/(TblConstr[[#This Row],[Land]]-TblExplore[[#This Row],[Land Bonus]]*20)</f>
        <v>0.18</v>
      </c>
      <c r="AC81" s="178"/>
      <c r="AD81" s="318">
        <f>TblMili[[#This Row],[Hour]]</f>
        <v>78</v>
      </c>
      <c r="AE81" s="179">
        <f ca="1">TblExplore[[#This Row],[Time]]</f>
        <v>44407.958333333147</v>
      </c>
      <c r="AF81" s="232"/>
      <c r="AG81" s="232"/>
      <c r="AH81" s="232"/>
      <c r="AI81" s="232"/>
      <c r="AJ81" s="232"/>
      <c r="AK81" s="232"/>
      <c r="AL81" s="232"/>
      <c r="AM81" s="184"/>
      <c r="AN81" s="113">
        <f ca="1">TblProd[[#This Row],[Platinum]]</f>
        <v>494463</v>
      </c>
      <c r="AO81" s="113">
        <f ca="1">INDEX(TblProd[[#Headers],[Lumber]]:TblProd[[#This Row],[Ore]],COUNTA(TblProd[[#Headers],[Lumber]]:TblProd[[#This Row],[Lumber]]),MATCH(Military!$AO$2,TblProd[[#Headers],[Lumber]:[Ore]],0))</f>
        <v>28190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44407.958333333147</v>
      </c>
      <c r="AT81" s="113">
        <f ca="1">TblMili[[#This Row],[Draftees]]</f>
        <v>1066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176</v>
      </c>
      <c r="BG81" s="113">
        <f ca="1">ROUNDUP(IF(race="Gnome",1,(1-MIN(TblMili[[#This Row],[Smithies]]*smithy_bonus,smithy_bonus_cap) + tech_3_5*TblTech[[#This Row],[3-5]] + tech_5_3*TblTech[[#This Row],[5-3]] + tech_5_5*TblTech[[#This Row],[5-5]]))*spec_op_ore,0)</f>
        <v>16</v>
      </c>
      <c r="BH81" s="113">
        <f ca="1">ROUNDUP((1-MIN(TblMili[[#This Row],[Smithies]]*smithy_bonus,smithy_bonus_cap) + tech_3_5*TblTech[[#This Row],[3-5]] + tech_5_3*TblTech[[#This Row],[5-3]] + tech_5_5*TblTech[[#This Row],[5-5]])*spec_dp_plat,0)</f>
        <v>176</v>
      </c>
      <c r="BI81" s="113">
        <f ca="1">ROUNDUP(IF(race="Gnome",1,(1-MIN(TblMili[[#This Row],[Smithies]]*smithy_bonus,smithy_bonus_cap) + tech_3_5*TblTech[[#This Row],[3-5]] + tech_5_3*TblTech[[#This Row],[5-3]] + tech_5_5*TblTech[[#This Row],[5-5]]))*spec_dp_ore,0)</f>
        <v>10</v>
      </c>
      <c r="BJ81" s="113">
        <f ca="1">ROUNDUP((1-MIN(TblMili[[#This Row],[Smithies]]*smithy_bonus,smithy_bonus_cap) + tech_3_5*TblTech[[#This Row],[3-5]] + tech_5_3*TblTech[[#This Row],[5-3]] + tech_5_5*TblTech[[#This Row],[5-5]])*elite1_plat,0)</f>
        <v>656</v>
      </c>
      <c r="BK81" s="113">
        <f ca="1">ROUNDUP(IF(race="Gnome",1,(1-MIN(TblMili[[#This Row],[Smithies]]*smithy_bonus,smithy_bonus_cap) + tech_3_5*TblTech[[#This Row],[3-5]] + tech_5_3*TblTech[[#This Row],[5-3]] + tech_5_5*TblTech[[#This Row],[5-5]]))*elite1_ore,0)</f>
        <v>48</v>
      </c>
      <c r="BL81" s="113">
        <f ca="1">ROUNDUP((1-MIN(TblMili[[#This Row],[Smithies]]*smithy_bonus,smithy_bonus_cap) + tech_3_5*TblTech[[#This Row],[3-5]] + tech_5_3*TblTech[[#This Row],[5-3]] + tech_5_5*TblTech[[#This Row],[5-5]])*elite2_plat,0)</f>
        <v>800</v>
      </c>
      <c r="BM81" s="113">
        <f ca="1">ROUNDUP(IF(race="Gnome",1,(1-MIN(TblMili[[#This Row],[Smithies]]*smithy_bonus,smithy_bonus_cap) + tech_3_5*TblTech[[#This Row],[3-5]] + tech_5_3*TblTech[[#This Row],[5-3]] + tech_5_5*TblTech[[#This Row],[5-5]]))*elite2_ore,0)</f>
        <v>64</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0.75</v>
      </c>
      <c r="BS81" s="208">
        <f ca="1">TblMili[[#This Row],[WG''s]]</f>
        <v>0</v>
      </c>
      <c r="BT81" s="323">
        <f ca="1">IF(mystic_cap="none",TblMili[[#This Row],[Hill]]/mystic_bonus,MIN(mystic_cap,TblMili[[#This Row],[Hill]]/mystic_bonus))</f>
        <v>3.75</v>
      </c>
      <c r="BU81" s="323">
        <f ca="1">IF(druid_op_cap="none",TblMili[[#This Row],[Hill]]/druid_op_bonus,MIN(druid_op_cap,TblMili[[#This Row],[Hill]]/druid_op_bonus))</f>
        <v>3.75</v>
      </c>
      <c r="BV81" s="323">
        <f ca="1">IF(druid_dp_cap="none",TblMili[[#This Row],[Hill]]/druid_dp_bonus,MIN(druid_dp_cap,TblMili[[#This Row],[Hill]]/druid_dp_bonus))</f>
        <v>3.75</v>
      </c>
      <c r="BW81" s="323">
        <f ca="1">MIN(dryad_cap,TblMili[[#This Row],[Hill]]/dryad_bonus)</f>
        <v>3.75</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250</v>
      </c>
      <c r="CB81" s="124">
        <f ca="1">MIN(TblMili[[#This Row],[Unit 1]],TblMili[[#This Row],[Unit 4]])*2</f>
        <v>0</v>
      </c>
      <c r="CC81" s="323">
        <f ca="1">MIN(frost_mage_cap,TblMili[[#This Row],[Hill]]/frost_mage_bonus)</f>
        <v>3</v>
      </c>
      <c r="CD81" s="59">
        <f ca="1">MIN(ice_elem_cap,TblMili[[#This Row],[Raw (2)]]*ice_elem_bonus)</f>
        <v>5.8333333333333334E-2</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3.95</v>
      </c>
      <c r="CK8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1" s="113">
        <f ca="1">TblMili[[#This Row],[Mystic bonus]]*TblMili[[#This Row],[Unit 3]]+TblMili[[#This Row],[Druid bonus]]*TblMili[[#This Row],[Unit 4]]</f>
        <v>4836.25</v>
      </c>
      <c r="CM81" s="201">
        <f ca="1">MIN(6,TblMili[[#This Row],[Dryad]]+Races!$F$35)*1.8 +  IF(TblMili[[#This Row],[Dryad]]+Races!$F$35&gt;6,(TblMili[[#This Row],[Dryad]]+Races!$F$35-6)*0.2,0) - Races!$I$19</f>
        <v>3.7500000000000009</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5.4</v>
      </c>
      <c r="CT81" s="201">
        <f ca="1">1.8 * MIN(MAX(TblMili[[#This Row],[Ice Elemental]]+Races!$E$71,Races!$F$71),6)  +  0.45 * MIN(MIN(TblMili[[#This Row],[Ice Elemental]]+Races!$E$71,Races!$F$71),6)  +  0.2 * ( MAX(TblMili[[#This Row],[Ice Elemental]]+Races!$E$71-6,0) + MAX(Races!$F$71-6,0) )  -  Races!$I$71</f>
        <v>0.10500000000000043</v>
      </c>
      <c r="CU81" s="113">
        <f ca="1">TblMili[[#This Row],[Frost Mage bonus]]*TblMili[[#This Row],[Unit 3]]+TblMili[[#This Row],[Ice Elemental bonus]]*TblMili[[#This Row],[Unit 4]]</f>
        <v>738.00000000000023</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1" s="184"/>
      <c r="DA81" s="326">
        <f ca="1">(TblMili[[#This Row],[Wizards]]+2*TblMili[[#This Row],[Archmages]])/TblConstr[[#This Row],[Land]]</f>
        <v>5.8333333333333334E-2</v>
      </c>
      <c r="DB81" s="326">
        <f ca="1">TblMili[[#This Row],[Raw (2)]]*(1+race_wizard_strength+IF(TblMili[[#This Row],[Hour]]&gt;72,tech_magical_weaponry_wiz*TblTech[[#This Row],[3-5]],0))</f>
        <v>5.8333333333333334E-2</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3012</v>
      </c>
      <c r="C82" s="203">
        <f ca="1">TblPop[[#This Row],[Military%]]</f>
        <v>0.30231857874134299</v>
      </c>
      <c r="D82" s="184"/>
      <c r="E82" s="49">
        <f ca="1">OFFSET(TblMili[[#This Row],[Unit 1]],-1,0) + OFFSET(TblMili[[#This Row],[Train Unit 1]],-9,0) - TblMili[[#This Row],[Release Unit 1]]</f>
        <v>0</v>
      </c>
      <c r="F82" s="49">
        <f ca="1">OFFSET(TblMili[[#This Row],[Unit 2]],-1,0) + OFFSET(TblMili[[#This Row],[Train Unit 2]],-9,0)-TblMili[[#This Row],[Release Unit 2]]</f>
        <v>1081</v>
      </c>
      <c r="G82" s="49">
        <f ca="1">OFFSET(TblMili[[#This Row],[Unit 3]],-1,0) + OFFSET(TblMili[[#This Row],[Train Unit 3]],-12,0)-TblMili[[#This Row],[Release Unit 3]]</f>
        <v>125</v>
      </c>
      <c r="H82" s="49">
        <f ca="1">OFFSET(TblMili[[#This Row],[Unit 4]],-1,0) + OFFSET(TblMili[[#This Row],[Train Unit 4]],-12,0)-TblMili[[#This Row],[Release Unit 4]]</f>
        <v>600</v>
      </c>
      <c r="I82" s="49">
        <f ca="1">OFFSET(TblMili[[#This Row],[Spies]],-1,0) + OFFSET(TblMili[[#This Row],[Train Spies]],-12,0) - TblMili[[#This Row],[Release Spies]]</f>
        <v>35</v>
      </c>
      <c r="J82" s="49">
        <f ca="1">OFFSET(TblMili[[#This Row],[Wizards]],-1,0) + OFFSET(TblMili[[#This Row],[Train Wiz]],-12,0) - TblMili[[#This Row],[Release Wizards]]-TblMili[[#This Row],[Train Arch]]</f>
        <v>35</v>
      </c>
      <c r="K82" s="49">
        <f ca="1">OFFSET(TblMili[[#This Row],[Archmages]],-1,0) + OFFSET(TblMili[[#This Row],[Train Arch]],-12,0) - TblMili[[#This Row],[Release Arch]]</f>
        <v>0</v>
      </c>
      <c r="L82" s="184"/>
      <c r="M82" s="113">
        <f ca="1">TblProd[[#This Row],[Networth]]</f>
        <v>29507.5</v>
      </c>
      <c r="N82" s="184"/>
      <c r="O82" s="319">
        <f ca="1">TblMili[[#This Row],[Unit 1]]*spec_op+TblMili[[#This Row],[Unit 3]]*(elite1_base_op+dark_elf*TblMili[[#This Row],[Adept]])+TblMili[[#This Row],[Unit 4]]*(elite2_base_op+icekin*TblMili[[#This Row],[Ice Elemental]]+woodie*TblMili[[#This Row],[Druid (op)]]+orc*TblMili[[#This Row],[Orc]])+kobold*TblMili[[#This Row],[Overlords]]</f>
        <v>3850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2" s="319">
        <f ca="1">TblMili[[#This Row],[Raw]]*(1+TblMili[[#This Row],[Mods_Off]])</f>
        <v>4138.75</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2" s="319">
        <f ca="1">TblMili[[#This Row],[Non Draft]]+TblMili[[#This Row],[Draftees]]</f>
        <v>6929</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2" s="321">
        <f ca="1">TblMili[[#This Row],[Non Draft]] * (1 + TblMili[[#This Row],[Mods_Def]])</f>
        <v>6372.3</v>
      </c>
      <c r="V82" s="319">
        <f ca="1">TblMili[[#This Row],[Draft]] * (1 + TblMili[[#This Row],[Mods_Def]])</f>
        <v>7621.9000000000005</v>
      </c>
      <c r="W82" s="319">
        <f ca="1">TblConstr[[#This Row],[Land]]</f>
        <v>600</v>
      </c>
      <c r="X82" s="322"/>
      <c r="Y82" s="327">
        <f ca="1">IF(TblMili[[#This Row],[Set]]&lt;&gt;"",TblMili[[#This Row],[Set]],OFFSET(TblMili[[#This Row],[Draftrate]],-1,0))</f>
        <v>0.9</v>
      </c>
      <c r="Z82" s="113">
        <f ca="1">OFFSET(TblMili[[#This Row],[Draftees]],-1,0)+OFFSET(TblPop[[#This Row],[Draft Growth]],-1,0) - SUM(TblMili[[#This Row],[Train Unit 1]:[Train Wiz]]) - TblMili[[#This Row],[Release Draft]] + SUM(TblMili[[#This Row],[Release Unit 1]:[Release Arch]]) -TblExplore[[#This Row],[Draftees (2)]]</f>
        <v>1136</v>
      </c>
      <c r="AA82" s="200"/>
      <c r="AB82" s="234">
        <f ca="1">(TblConstr[[#This Row],[Tot Smi]]+TblConstr[[#This Row],[Dest Smi]])/(TblConstr[[#This Row],[Land]]-TblExplore[[#This Row],[Land Bonus]]*20)</f>
        <v>0.18</v>
      </c>
      <c r="AC82" s="178"/>
      <c r="AD82" s="318">
        <f>TblMili[[#This Row],[Hour]]</f>
        <v>79</v>
      </c>
      <c r="AE82" s="179">
        <f ca="1">TblExplore[[#This Row],[Time]]</f>
        <v>44407.999999999811</v>
      </c>
      <c r="AF82" s="232"/>
      <c r="AG82" s="232"/>
      <c r="AH82" s="232"/>
      <c r="AI82" s="232"/>
      <c r="AJ82" s="232"/>
      <c r="AK82" s="232"/>
      <c r="AL82" s="232"/>
      <c r="AM82" s="184"/>
      <c r="AN82" s="113">
        <f ca="1">TblProd[[#This Row],[Platinum]]</f>
        <v>525299</v>
      </c>
      <c r="AO82" s="113">
        <f ca="1">INDEX(TblProd[[#Headers],[Lumber]]:TblProd[[#This Row],[Ore]],COUNTA(TblProd[[#Headers],[Lumber]]:TblProd[[#This Row],[Lumber]]),MATCH(Military!$AO$2,TblProd[[#Headers],[Lumber]:[Ore]],0))</f>
        <v>29990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44407.999999999811</v>
      </c>
      <c r="AT82" s="113">
        <f ca="1">TblMili[[#This Row],[Draftees]]</f>
        <v>1136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176</v>
      </c>
      <c r="BG82" s="113">
        <f ca="1">ROUNDUP(IF(race="Gnome",1,(1-MIN(TblMili[[#This Row],[Smithies]]*smithy_bonus,smithy_bonus_cap) + tech_3_5*TblTech[[#This Row],[3-5]] + tech_5_3*TblTech[[#This Row],[5-3]] + tech_5_5*TblTech[[#This Row],[5-5]]))*spec_op_ore,0)</f>
        <v>16</v>
      </c>
      <c r="BH82" s="113">
        <f ca="1">ROUNDUP((1-MIN(TblMili[[#This Row],[Smithies]]*smithy_bonus,smithy_bonus_cap) + tech_3_5*TblTech[[#This Row],[3-5]] + tech_5_3*TblTech[[#This Row],[5-3]] + tech_5_5*TblTech[[#This Row],[5-5]])*spec_dp_plat,0)</f>
        <v>176</v>
      </c>
      <c r="BI82" s="113">
        <f ca="1">ROUNDUP(IF(race="Gnome",1,(1-MIN(TblMili[[#This Row],[Smithies]]*smithy_bonus,smithy_bonus_cap) + tech_3_5*TblTech[[#This Row],[3-5]] + tech_5_3*TblTech[[#This Row],[5-3]] + tech_5_5*TblTech[[#This Row],[5-5]]))*spec_dp_ore,0)</f>
        <v>10</v>
      </c>
      <c r="BJ82" s="113">
        <f ca="1">ROUNDUP((1-MIN(TblMili[[#This Row],[Smithies]]*smithy_bonus,smithy_bonus_cap) + tech_3_5*TblTech[[#This Row],[3-5]] + tech_5_3*TblTech[[#This Row],[5-3]] + tech_5_5*TblTech[[#This Row],[5-5]])*elite1_plat,0)</f>
        <v>656</v>
      </c>
      <c r="BK82" s="113">
        <f ca="1">ROUNDUP(IF(race="Gnome",1,(1-MIN(TblMili[[#This Row],[Smithies]]*smithy_bonus,smithy_bonus_cap) + tech_3_5*TblTech[[#This Row],[3-5]] + tech_5_3*TblTech[[#This Row],[5-3]] + tech_5_5*TblTech[[#This Row],[5-5]]))*elite1_ore,0)</f>
        <v>48</v>
      </c>
      <c r="BL82" s="113">
        <f ca="1">ROUNDUP((1-MIN(TblMili[[#This Row],[Smithies]]*smithy_bonus,smithy_bonus_cap) + tech_3_5*TblTech[[#This Row],[3-5]] + tech_5_3*TblTech[[#This Row],[5-3]] + tech_5_5*TblTech[[#This Row],[5-5]])*elite2_plat,0)</f>
        <v>800</v>
      </c>
      <c r="BM82" s="113">
        <f ca="1">ROUNDUP(IF(race="Gnome",1,(1-MIN(TblMili[[#This Row],[Smithies]]*smithy_bonus,smithy_bonus_cap) + tech_3_5*TblTech[[#This Row],[3-5]] + tech_5_3*TblTech[[#This Row],[5-3]] + tech_5_5*TblTech[[#This Row],[5-5]]))*elite2_ore,0)</f>
        <v>64</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0.75</v>
      </c>
      <c r="BS82" s="208">
        <f ca="1">TblMili[[#This Row],[WG''s]]</f>
        <v>0</v>
      </c>
      <c r="BT82" s="323">
        <f ca="1">IF(mystic_cap="none",TblMili[[#This Row],[Hill]]/mystic_bonus,MIN(mystic_cap,TblMili[[#This Row],[Hill]]/mystic_bonus))</f>
        <v>3.75</v>
      </c>
      <c r="BU82" s="323">
        <f ca="1">IF(druid_op_cap="none",TblMili[[#This Row],[Hill]]/druid_op_bonus,MIN(druid_op_cap,TblMili[[#This Row],[Hill]]/druid_op_bonus))</f>
        <v>3.75</v>
      </c>
      <c r="BV82" s="323">
        <f ca="1">IF(druid_dp_cap="none",TblMili[[#This Row],[Hill]]/druid_dp_bonus,MIN(druid_dp_cap,TblMili[[#This Row],[Hill]]/druid_dp_bonus))</f>
        <v>3.75</v>
      </c>
      <c r="BW82" s="323">
        <f ca="1">MIN(dryad_cap,TblMili[[#This Row],[Hill]]/dryad_bonus)</f>
        <v>3.75</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250</v>
      </c>
      <c r="CB82" s="124">
        <f ca="1">MIN(TblMili[[#This Row],[Unit 1]],TblMili[[#This Row],[Unit 4]])*2</f>
        <v>0</v>
      </c>
      <c r="CC82" s="323">
        <f ca="1">MIN(frost_mage_cap,TblMili[[#This Row],[Hill]]/frost_mage_bonus)</f>
        <v>3</v>
      </c>
      <c r="CD82" s="59">
        <f ca="1">MIN(ice_elem_cap,TblMili[[#This Row],[Raw (2)]]*ice_elem_bonus)</f>
        <v>5.8333333333333334E-2</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3.95</v>
      </c>
      <c r="CK8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2" s="113">
        <f ca="1">TblMili[[#This Row],[Mystic bonus]]*TblMili[[#This Row],[Unit 3]]+TblMili[[#This Row],[Druid bonus]]*TblMili[[#This Row],[Unit 4]]</f>
        <v>4836.25</v>
      </c>
      <c r="CM82" s="201">
        <f ca="1">MIN(6,TblMili[[#This Row],[Dryad]]+Races!$F$35)*1.8 +  IF(TblMili[[#This Row],[Dryad]]+Races!$F$35&gt;6,(TblMili[[#This Row],[Dryad]]+Races!$F$35-6)*0.2,0) - Races!$I$19</f>
        <v>3.7500000000000009</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5.4</v>
      </c>
      <c r="CT82" s="201">
        <f ca="1">1.8 * MIN(MAX(TblMili[[#This Row],[Ice Elemental]]+Races!$E$71,Races!$F$71),6)  +  0.45 * MIN(MIN(TblMili[[#This Row],[Ice Elemental]]+Races!$E$71,Races!$F$71),6)  +  0.2 * ( MAX(TblMili[[#This Row],[Ice Elemental]]+Races!$E$71-6,0) + MAX(Races!$F$71-6,0) )  -  Races!$I$71</f>
        <v>0.10500000000000043</v>
      </c>
      <c r="CU82" s="113">
        <f ca="1">TblMili[[#This Row],[Frost Mage bonus]]*TblMili[[#This Row],[Unit 3]]+TblMili[[#This Row],[Ice Elemental bonus]]*TblMili[[#This Row],[Unit 4]]</f>
        <v>738.00000000000023</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2" s="184"/>
      <c r="DA82" s="326">
        <f ca="1">(TblMili[[#This Row],[Wizards]]+2*TblMili[[#This Row],[Archmages]])/TblConstr[[#This Row],[Land]]</f>
        <v>5.8333333333333334E-2</v>
      </c>
      <c r="DB82" s="326">
        <f ca="1">TblMili[[#This Row],[Raw (2)]]*(1+race_wizard_strength+IF(TblMili[[#This Row],[Hour]]&gt;72,tech_magical_weaponry_wiz*TblTech[[#This Row],[3-5]],0))</f>
        <v>5.8333333333333334E-2</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3082</v>
      </c>
      <c r="C83" s="203">
        <f ca="1">TblPop[[#This Row],[Military%]]</f>
        <v>0.30934457492723078</v>
      </c>
      <c r="D83" s="184"/>
      <c r="E83" s="49">
        <f ca="1">OFFSET(TblMili[[#This Row],[Unit 1]],-1,0) + OFFSET(TblMili[[#This Row],[Train Unit 1]],-9,0) - TblMili[[#This Row],[Release Unit 1]]</f>
        <v>0</v>
      </c>
      <c r="F83" s="49">
        <f ca="1">OFFSET(TblMili[[#This Row],[Unit 2]],-1,0) + OFFSET(TblMili[[#This Row],[Train Unit 2]],-9,0)-TblMili[[#This Row],[Release Unit 2]]</f>
        <v>1081</v>
      </c>
      <c r="G83" s="49">
        <f ca="1">OFFSET(TblMili[[#This Row],[Unit 3]],-1,0) + OFFSET(TblMili[[#This Row],[Train Unit 3]],-12,0)-TblMili[[#This Row],[Release Unit 3]]</f>
        <v>125</v>
      </c>
      <c r="H83" s="49">
        <f ca="1">OFFSET(TblMili[[#This Row],[Unit 4]],-1,0) + OFFSET(TblMili[[#This Row],[Train Unit 4]],-12,0)-TblMili[[#This Row],[Release Unit 4]]</f>
        <v>600</v>
      </c>
      <c r="I83" s="49">
        <f ca="1">OFFSET(TblMili[[#This Row],[Spies]],-1,0) + OFFSET(TblMili[[#This Row],[Train Spies]],-12,0) - TblMili[[#This Row],[Release Spies]]</f>
        <v>35</v>
      </c>
      <c r="J83" s="49">
        <f ca="1">OFFSET(TblMili[[#This Row],[Wizards]],-1,0) + OFFSET(TblMili[[#This Row],[Train Wiz]],-12,0) - TblMili[[#This Row],[Release Wizards]]-TblMili[[#This Row],[Train Arch]]</f>
        <v>35</v>
      </c>
      <c r="K83" s="49">
        <f ca="1">OFFSET(TblMili[[#This Row],[Archmages]],-1,0) + OFFSET(TblMili[[#This Row],[Train Arch]],-12,0) - TblMili[[#This Row],[Release Arch]]</f>
        <v>0</v>
      </c>
      <c r="L83" s="184"/>
      <c r="M83" s="113">
        <f ca="1">TblProd[[#This Row],[Networth]]</f>
        <v>29507.5</v>
      </c>
      <c r="N83" s="184"/>
      <c r="O83" s="319">
        <f ca="1">TblMili[[#This Row],[Unit 1]]*spec_op+TblMili[[#This Row],[Unit 3]]*(elite1_base_op+dark_elf*TblMili[[#This Row],[Adept]])+TblMili[[#This Row],[Unit 4]]*(elite2_base_op+icekin*TblMili[[#This Row],[Ice Elemental]]+woodie*TblMili[[#This Row],[Druid (op)]]+orc*TblMili[[#This Row],[Orc]])+kobold*TblMili[[#This Row],[Overlords]]</f>
        <v>3850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3" s="319">
        <f ca="1">TblMili[[#This Row],[Raw]]*(1+TblMili[[#This Row],[Mods_Off]])</f>
        <v>4138.75</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3" s="319">
        <f ca="1">TblMili[[#This Row],[Non Draft]]+TblMili[[#This Row],[Draftees]]</f>
        <v>6999</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3" s="321">
        <f ca="1">TblMili[[#This Row],[Non Draft]] * (1 + TblMili[[#This Row],[Mods_Def]])</f>
        <v>6372.3</v>
      </c>
      <c r="V83" s="319">
        <f ca="1">TblMili[[#This Row],[Draft]] * (1 + TblMili[[#This Row],[Mods_Def]])</f>
        <v>7698.9000000000005</v>
      </c>
      <c r="W83" s="319">
        <f ca="1">TblConstr[[#This Row],[Land]]</f>
        <v>600</v>
      </c>
      <c r="X83" s="322"/>
      <c r="Y83" s="327">
        <f ca="1">IF(TblMili[[#This Row],[Set]]&lt;&gt;"",TblMili[[#This Row],[Set]],OFFSET(TblMili[[#This Row],[Draftrate]],-1,0))</f>
        <v>0.9</v>
      </c>
      <c r="Z83" s="113">
        <f ca="1">OFFSET(TblMili[[#This Row],[Draftees]],-1,0)+OFFSET(TblPop[[#This Row],[Draft Growth]],-1,0) - SUM(TblMili[[#This Row],[Train Unit 1]:[Train Wiz]]) - TblMili[[#This Row],[Release Draft]] + SUM(TblMili[[#This Row],[Release Unit 1]:[Release Arch]]) -TblExplore[[#This Row],[Draftees (2)]]</f>
        <v>1206</v>
      </c>
      <c r="AA83" s="200"/>
      <c r="AB83" s="234">
        <f ca="1">(TblConstr[[#This Row],[Tot Smi]]+TblConstr[[#This Row],[Dest Smi]])/(TblConstr[[#This Row],[Land]]-TblExplore[[#This Row],[Land Bonus]]*20)</f>
        <v>0.18</v>
      </c>
      <c r="AC83" s="178"/>
      <c r="AD83" s="318">
        <f>TblMili[[#This Row],[Hour]]</f>
        <v>80</v>
      </c>
      <c r="AE83" s="179">
        <f ca="1">TblExplore[[#This Row],[Time]]</f>
        <v>44408.041666666475</v>
      </c>
      <c r="AF83" s="232"/>
      <c r="AG83" s="232"/>
      <c r="AH83" s="232"/>
      <c r="AI83" s="232"/>
      <c r="AJ83" s="232"/>
      <c r="AK83" s="232"/>
      <c r="AL83" s="232"/>
      <c r="AM83" s="184"/>
      <c r="AN83" s="113">
        <f ca="1">TblProd[[#This Row],[Platinum]]</f>
        <v>555946</v>
      </c>
      <c r="AO83" s="113">
        <f ca="1">INDEX(TblProd[[#Headers],[Lumber]]:TblProd[[#This Row],[Ore]],COUNTA(TblProd[[#Headers],[Lumber]]:TblProd[[#This Row],[Lumber]]),MATCH(Military!$AO$2,TblProd[[#Headers],[Lumber]:[Ore]],0))</f>
        <v>31790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44408.041666666475</v>
      </c>
      <c r="AT83" s="113">
        <f ca="1">TblMili[[#This Row],[Draftees]]</f>
        <v>1206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176</v>
      </c>
      <c r="BG83" s="113">
        <f ca="1">ROUNDUP(IF(race="Gnome",1,(1-MIN(TblMili[[#This Row],[Smithies]]*smithy_bonus,smithy_bonus_cap) + tech_3_5*TblTech[[#This Row],[3-5]] + tech_5_3*TblTech[[#This Row],[5-3]] + tech_5_5*TblTech[[#This Row],[5-5]]))*spec_op_ore,0)</f>
        <v>16</v>
      </c>
      <c r="BH83" s="113">
        <f ca="1">ROUNDUP((1-MIN(TblMili[[#This Row],[Smithies]]*smithy_bonus,smithy_bonus_cap) + tech_3_5*TblTech[[#This Row],[3-5]] + tech_5_3*TblTech[[#This Row],[5-3]] + tech_5_5*TblTech[[#This Row],[5-5]])*spec_dp_plat,0)</f>
        <v>176</v>
      </c>
      <c r="BI83" s="113">
        <f ca="1">ROUNDUP(IF(race="Gnome",1,(1-MIN(TblMili[[#This Row],[Smithies]]*smithy_bonus,smithy_bonus_cap) + tech_3_5*TblTech[[#This Row],[3-5]] + tech_5_3*TblTech[[#This Row],[5-3]] + tech_5_5*TblTech[[#This Row],[5-5]]))*spec_dp_ore,0)</f>
        <v>10</v>
      </c>
      <c r="BJ83" s="113">
        <f ca="1">ROUNDUP((1-MIN(TblMili[[#This Row],[Smithies]]*smithy_bonus,smithy_bonus_cap) + tech_3_5*TblTech[[#This Row],[3-5]] + tech_5_3*TblTech[[#This Row],[5-3]] + tech_5_5*TblTech[[#This Row],[5-5]])*elite1_plat,0)</f>
        <v>656</v>
      </c>
      <c r="BK83" s="113">
        <f ca="1">ROUNDUP(IF(race="Gnome",1,(1-MIN(TblMili[[#This Row],[Smithies]]*smithy_bonus,smithy_bonus_cap) + tech_3_5*TblTech[[#This Row],[3-5]] + tech_5_3*TblTech[[#This Row],[5-3]] + tech_5_5*TblTech[[#This Row],[5-5]]))*elite1_ore,0)</f>
        <v>48</v>
      </c>
      <c r="BL83" s="113">
        <f ca="1">ROUNDUP((1-MIN(TblMili[[#This Row],[Smithies]]*smithy_bonus,smithy_bonus_cap) + tech_3_5*TblTech[[#This Row],[3-5]] + tech_5_3*TblTech[[#This Row],[5-3]] + tech_5_5*TblTech[[#This Row],[5-5]])*elite2_plat,0)</f>
        <v>800</v>
      </c>
      <c r="BM83" s="113">
        <f ca="1">ROUNDUP(IF(race="Gnome",1,(1-MIN(TblMili[[#This Row],[Smithies]]*smithy_bonus,smithy_bonus_cap) + tech_3_5*TblTech[[#This Row],[3-5]] + tech_5_3*TblTech[[#This Row],[5-3]] + tech_5_5*TblTech[[#This Row],[5-5]]))*elite2_ore,0)</f>
        <v>64</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0.75</v>
      </c>
      <c r="BS83" s="208">
        <f ca="1">TblMili[[#This Row],[WG''s]]</f>
        <v>0</v>
      </c>
      <c r="BT83" s="323">
        <f ca="1">IF(mystic_cap="none",TblMili[[#This Row],[Hill]]/mystic_bonus,MIN(mystic_cap,TblMili[[#This Row],[Hill]]/mystic_bonus))</f>
        <v>3.75</v>
      </c>
      <c r="BU83" s="323">
        <f ca="1">IF(druid_op_cap="none",TblMili[[#This Row],[Hill]]/druid_op_bonus,MIN(druid_op_cap,TblMili[[#This Row],[Hill]]/druid_op_bonus))</f>
        <v>3.75</v>
      </c>
      <c r="BV83" s="323">
        <f ca="1">IF(druid_dp_cap="none",TblMili[[#This Row],[Hill]]/druid_dp_bonus,MIN(druid_dp_cap,TblMili[[#This Row],[Hill]]/druid_dp_bonus))</f>
        <v>3.75</v>
      </c>
      <c r="BW83" s="323">
        <f ca="1">MIN(dryad_cap,TblMili[[#This Row],[Hill]]/dryad_bonus)</f>
        <v>3.75</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250</v>
      </c>
      <c r="CB83" s="124">
        <f ca="1">MIN(TblMili[[#This Row],[Unit 1]],TblMili[[#This Row],[Unit 4]])*2</f>
        <v>0</v>
      </c>
      <c r="CC83" s="323">
        <f ca="1">MIN(frost_mage_cap,TblMili[[#This Row],[Hill]]/frost_mage_bonus)</f>
        <v>3</v>
      </c>
      <c r="CD83" s="59">
        <f ca="1">MIN(ice_elem_cap,TblMili[[#This Row],[Raw (2)]]*ice_elem_bonus)</f>
        <v>5.8333333333333334E-2</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3.95</v>
      </c>
      <c r="CK8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3" s="113">
        <f ca="1">TblMili[[#This Row],[Mystic bonus]]*TblMili[[#This Row],[Unit 3]]+TblMili[[#This Row],[Druid bonus]]*TblMili[[#This Row],[Unit 4]]</f>
        <v>4836.25</v>
      </c>
      <c r="CM83" s="201">
        <f ca="1">MIN(6,TblMili[[#This Row],[Dryad]]+Races!$F$35)*1.8 +  IF(TblMili[[#This Row],[Dryad]]+Races!$F$35&gt;6,(TblMili[[#This Row],[Dryad]]+Races!$F$35-6)*0.2,0) - Races!$I$19</f>
        <v>3.7500000000000009</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5.4</v>
      </c>
      <c r="CT83" s="201">
        <f ca="1">1.8 * MIN(MAX(TblMili[[#This Row],[Ice Elemental]]+Races!$E$71,Races!$F$71),6)  +  0.45 * MIN(MIN(TblMili[[#This Row],[Ice Elemental]]+Races!$E$71,Races!$F$71),6)  +  0.2 * ( MAX(TblMili[[#This Row],[Ice Elemental]]+Races!$E$71-6,0) + MAX(Races!$F$71-6,0) )  -  Races!$I$71</f>
        <v>0.10500000000000043</v>
      </c>
      <c r="CU83" s="113">
        <f ca="1">TblMili[[#This Row],[Frost Mage bonus]]*TblMili[[#This Row],[Unit 3]]+TblMili[[#This Row],[Ice Elemental bonus]]*TblMili[[#This Row],[Unit 4]]</f>
        <v>738.00000000000023</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3" s="184"/>
      <c r="DA83" s="326">
        <f ca="1">(TblMili[[#This Row],[Wizards]]+2*TblMili[[#This Row],[Archmages]])/TblConstr[[#This Row],[Land]]</f>
        <v>5.8333333333333334E-2</v>
      </c>
      <c r="DB83" s="326">
        <f ca="1">TblMili[[#This Row],[Raw (2)]]*(1+race_wizard_strength+IF(TblMili[[#This Row],[Hour]]&gt;72,tech_magical_weaponry_wiz*TblTech[[#This Row],[3-5]],0))</f>
        <v>5.8333333333333334E-2</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3151</v>
      </c>
      <c r="C84" s="203">
        <f ca="1">TblPop[[#This Row],[Military%]]</f>
        <v>0.31627019973903442</v>
      </c>
      <c r="D84" s="184"/>
      <c r="E84" s="49">
        <f ca="1">OFFSET(TblMili[[#This Row],[Unit 1]],-1,0) + OFFSET(TblMili[[#This Row],[Train Unit 1]],-9,0) - TblMili[[#This Row],[Release Unit 1]]</f>
        <v>0</v>
      </c>
      <c r="F84" s="49">
        <f ca="1">OFFSET(TblMili[[#This Row],[Unit 2]],-1,0) + OFFSET(TblMili[[#This Row],[Train Unit 2]],-9,0)-TblMili[[#This Row],[Release Unit 2]]</f>
        <v>1081</v>
      </c>
      <c r="G84" s="49">
        <f ca="1">OFFSET(TblMili[[#This Row],[Unit 3]],-1,0) + OFFSET(TblMili[[#This Row],[Train Unit 3]],-12,0)-TblMili[[#This Row],[Release Unit 3]]</f>
        <v>125</v>
      </c>
      <c r="H84" s="49">
        <f ca="1">OFFSET(TblMili[[#This Row],[Unit 4]],-1,0) + OFFSET(TblMili[[#This Row],[Train Unit 4]],-12,0)-TblMili[[#This Row],[Release Unit 4]]</f>
        <v>600</v>
      </c>
      <c r="I84" s="49">
        <f ca="1">OFFSET(TblMili[[#This Row],[Spies]],-1,0) + OFFSET(TblMili[[#This Row],[Train Spies]],-12,0) - TblMili[[#This Row],[Release Spies]]</f>
        <v>35</v>
      </c>
      <c r="J84" s="49">
        <f ca="1">OFFSET(TblMili[[#This Row],[Wizards]],-1,0) + OFFSET(TblMili[[#This Row],[Train Wiz]],-12,0) - TblMili[[#This Row],[Release Wizards]]-TblMili[[#This Row],[Train Arch]]</f>
        <v>35</v>
      </c>
      <c r="K84" s="49">
        <f ca="1">OFFSET(TblMili[[#This Row],[Archmages]],-1,0) + OFFSET(TblMili[[#This Row],[Train Arch]],-12,0) - TblMili[[#This Row],[Release Arch]]</f>
        <v>0</v>
      </c>
      <c r="L84" s="184"/>
      <c r="M84" s="113">
        <f ca="1">TblProd[[#This Row],[Networth]]</f>
        <v>29507.5</v>
      </c>
      <c r="N84" s="184"/>
      <c r="O84" s="319">
        <f ca="1">TblMili[[#This Row],[Unit 1]]*spec_op+TblMili[[#This Row],[Unit 3]]*(elite1_base_op+dark_elf*TblMili[[#This Row],[Adept]])+TblMili[[#This Row],[Unit 4]]*(elite2_base_op+icekin*TblMili[[#This Row],[Ice Elemental]]+woodie*TblMili[[#This Row],[Druid (op)]]+orc*TblMili[[#This Row],[Orc]])+kobold*TblMili[[#This Row],[Overlords]]</f>
        <v>3850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4" s="319">
        <f ca="1">TblMili[[#This Row],[Raw]]*(1+TblMili[[#This Row],[Mods_Off]])</f>
        <v>4138.75</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4" s="319">
        <f ca="1">TblMili[[#This Row],[Non Draft]]+TblMili[[#This Row],[Draftees]]</f>
        <v>7068</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4" s="321">
        <f ca="1">TblMili[[#This Row],[Non Draft]] * (1 + TblMili[[#This Row],[Mods_Def]])</f>
        <v>6372.3</v>
      </c>
      <c r="V84" s="319">
        <f ca="1">TblMili[[#This Row],[Draft]] * (1 + TblMili[[#This Row],[Mods_Def]])</f>
        <v>7774.8</v>
      </c>
      <c r="W84" s="319">
        <f ca="1">TblConstr[[#This Row],[Land]]</f>
        <v>600</v>
      </c>
      <c r="X84" s="322"/>
      <c r="Y84" s="327">
        <f ca="1">IF(TblMili[[#This Row],[Set]]&lt;&gt;"",TblMili[[#This Row],[Set]],OFFSET(TblMili[[#This Row],[Draftrate]],-1,0))</f>
        <v>0.9</v>
      </c>
      <c r="Z84" s="113">
        <f ca="1">OFFSET(TblMili[[#This Row],[Draftees]],-1,0)+OFFSET(TblPop[[#This Row],[Draft Growth]],-1,0) - SUM(TblMili[[#This Row],[Train Unit 1]:[Train Wiz]]) - TblMili[[#This Row],[Release Draft]] + SUM(TblMili[[#This Row],[Release Unit 1]:[Release Arch]]) -TblExplore[[#This Row],[Draftees (2)]]</f>
        <v>1275</v>
      </c>
      <c r="AA84" s="200"/>
      <c r="AB84" s="234">
        <f ca="1">(TblConstr[[#This Row],[Tot Smi]]+TblConstr[[#This Row],[Dest Smi]])/(TblConstr[[#This Row],[Land]]-TblExplore[[#This Row],[Land Bonus]]*20)</f>
        <v>0.18</v>
      </c>
      <c r="AC84" s="178"/>
      <c r="AD84" s="318">
        <f>TblMili[[#This Row],[Hour]]</f>
        <v>81</v>
      </c>
      <c r="AE84" s="179">
        <f ca="1">TblExplore[[#This Row],[Time]]</f>
        <v>44408.083333333139</v>
      </c>
      <c r="AF84" s="232"/>
      <c r="AG84" s="232"/>
      <c r="AH84" s="232"/>
      <c r="AI84" s="232"/>
      <c r="AJ84" s="232"/>
      <c r="AK84" s="232"/>
      <c r="AL84" s="232"/>
      <c r="AM84" s="184"/>
      <c r="AN84" s="113">
        <f ca="1">TblProd[[#This Row],[Platinum]]</f>
        <v>586404</v>
      </c>
      <c r="AO84" s="113">
        <f ca="1">INDEX(TblProd[[#Headers],[Lumber]]:TblProd[[#This Row],[Ore]],COUNTA(TblProd[[#Headers],[Lumber]]:TblProd[[#This Row],[Lumber]]),MATCH(Military!$AO$2,TblProd[[#Headers],[Lumber]:[Ore]],0))</f>
        <v>33590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44408.083333333139</v>
      </c>
      <c r="AT84" s="113">
        <f ca="1">TblMili[[#This Row],[Draftees]]</f>
        <v>1275</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176</v>
      </c>
      <c r="BG84" s="113">
        <f ca="1">ROUNDUP(IF(race="Gnome",1,(1-MIN(TblMili[[#This Row],[Smithies]]*smithy_bonus,smithy_bonus_cap) + tech_3_5*TblTech[[#This Row],[3-5]] + tech_5_3*TblTech[[#This Row],[5-3]] + tech_5_5*TblTech[[#This Row],[5-5]]))*spec_op_ore,0)</f>
        <v>16</v>
      </c>
      <c r="BH84" s="113">
        <f ca="1">ROUNDUP((1-MIN(TblMili[[#This Row],[Smithies]]*smithy_bonus,smithy_bonus_cap) + tech_3_5*TblTech[[#This Row],[3-5]] + tech_5_3*TblTech[[#This Row],[5-3]] + tech_5_5*TblTech[[#This Row],[5-5]])*spec_dp_plat,0)</f>
        <v>176</v>
      </c>
      <c r="BI84" s="113">
        <f ca="1">ROUNDUP(IF(race="Gnome",1,(1-MIN(TblMili[[#This Row],[Smithies]]*smithy_bonus,smithy_bonus_cap) + tech_3_5*TblTech[[#This Row],[3-5]] + tech_5_3*TblTech[[#This Row],[5-3]] + tech_5_5*TblTech[[#This Row],[5-5]]))*spec_dp_ore,0)</f>
        <v>10</v>
      </c>
      <c r="BJ84" s="113">
        <f ca="1">ROUNDUP((1-MIN(TblMili[[#This Row],[Smithies]]*smithy_bonus,smithy_bonus_cap) + tech_3_5*TblTech[[#This Row],[3-5]] + tech_5_3*TblTech[[#This Row],[5-3]] + tech_5_5*TblTech[[#This Row],[5-5]])*elite1_plat,0)</f>
        <v>656</v>
      </c>
      <c r="BK84" s="113">
        <f ca="1">ROUNDUP(IF(race="Gnome",1,(1-MIN(TblMili[[#This Row],[Smithies]]*smithy_bonus,smithy_bonus_cap) + tech_3_5*TblTech[[#This Row],[3-5]] + tech_5_3*TblTech[[#This Row],[5-3]] + tech_5_5*TblTech[[#This Row],[5-5]]))*elite1_ore,0)</f>
        <v>48</v>
      </c>
      <c r="BL84" s="113">
        <f ca="1">ROUNDUP((1-MIN(TblMili[[#This Row],[Smithies]]*smithy_bonus,smithy_bonus_cap) + tech_3_5*TblTech[[#This Row],[3-5]] + tech_5_3*TblTech[[#This Row],[5-3]] + tech_5_5*TblTech[[#This Row],[5-5]])*elite2_plat,0)</f>
        <v>800</v>
      </c>
      <c r="BM84" s="113">
        <f ca="1">ROUNDUP(IF(race="Gnome",1,(1-MIN(TblMili[[#This Row],[Smithies]]*smithy_bonus,smithy_bonus_cap) + tech_3_5*TblTech[[#This Row],[3-5]] + tech_5_3*TblTech[[#This Row],[5-3]] + tech_5_5*TblTech[[#This Row],[5-5]]))*elite2_ore,0)</f>
        <v>64</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0.75</v>
      </c>
      <c r="BS84" s="208">
        <f ca="1">TblMili[[#This Row],[WG''s]]</f>
        <v>0</v>
      </c>
      <c r="BT84" s="323">
        <f ca="1">IF(mystic_cap="none",TblMili[[#This Row],[Hill]]/mystic_bonus,MIN(mystic_cap,TblMili[[#This Row],[Hill]]/mystic_bonus))</f>
        <v>3.75</v>
      </c>
      <c r="BU84" s="323">
        <f ca="1">IF(druid_op_cap="none",TblMili[[#This Row],[Hill]]/druid_op_bonus,MIN(druid_op_cap,TblMili[[#This Row],[Hill]]/druid_op_bonus))</f>
        <v>3.75</v>
      </c>
      <c r="BV84" s="323">
        <f ca="1">IF(druid_dp_cap="none",TblMili[[#This Row],[Hill]]/druid_dp_bonus,MIN(druid_dp_cap,TblMili[[#This Row],[Hill]]/druid_dp_bonus))</f>
        <v>3.75</v>
      </c>
      <c r="BW84" s="323">
        <f ca="1">MIN(dryad_cap,TblMili[[#This Row],[Hill]]/dryad_bonus)</f>
        <v>3.75</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250</v>
      </c>
      <c r="CB84" s="124">
        <f ca="1">MIN(TblMili[[#This Row],[Unit 1]],TblMili[[#This Row],[Unit 4]])*2</f>
        <v>0</v>
      </c>
      <c r="CC84" s="323">
        <f ca="1">MIN(frost_mage_cap,TblMili[[#This Row],[Hill]]/frost_mage_bonus)</f>
        <v>3</v>
      </c>
      <c r="CD84" s="59">
        <f ca="1">MIN(ice_elem_cap,TblMili[[#This Row],[Raw (2)]]*ice_elem_bonus)</f>
        <v>5.8333333333333334E-2</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3.95</v>
      </c>
      <c r="CK8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4" s="113">
        <f ca="1">TblMili[[#This Row],[Mystic bonus]]*TblMili[[#This Row],[Unit 3]]+TblMili[[#This Row],[Druid bonus]]*TblMili[[#This Row],[Unit 4]]</f>
        <v>4836.25</v>
      </c>
      <c r="CM84" s="201">
        <f ca="1">MIN(6,TblMili[[#This Row],[Dryad]]+Races!$F$35)*1.8 +  IF(TblMili[[#This Row],[Dryad]]+Races!$F$35&gt;6,(TblMili[[#This Row],[Dryad]]+Races!$F$35-6)*0.2,0) - Races!$I$19</f>
        <v>3.7500000000000009</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5.4</v>
      </c>
      <c r="CT84" s="201">
        <f ca="1">1.8 * MIN(MAX(TblMili[[#This Row],[Ice Elemental]]+Races!$E$71,Races!$F$71),6)  +  0.45 * MIN(MIN(TblMili[[#This Row],[Ice Elemental]]+Races!$E$71,Races!$F$71),6)  +  0.2 * ( MAX(TblMili[[#This Row],[Ice Elemental]]+Races!$E$71-6,0) + MAX(Races!$F$71-6,0) )  -  Races!$I$71</f>
        <v>0.10500000000000043</v>
      </c>
      <c r="CU84" s="113">
        <f ca="1">TblMili[[#This Row],[Frost Mage bonus]]*TblMili[[#This Row],[Unit 3]]+TblMili[[#This Row],[Ice Elemental bonus]]*TblMili[[#This Row],[Unit 4]]</f>
        <v>738.00000000000023</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4" s="184"/>
      <c r="DA84" s="326">
        <f ca="1">(TblMili[[#This Row],[Wizards]]+2*TblMili[[#This Row],[Archmages]])/TblConstr[[#This Row],[Land]]</f>
        <v>5.8333333333333334E-2</v>
      </c>
      <c r="DB84" s="326">
        <f ca="1">TblMili[[#This Row],[Raw (2)]]*(1+race_wizard_strength+IF(TblMili[[#This Row],[Hour]]&gt;72,tech_magical_weaponry_wiz*TblTech[[#This Row],[3-5]],0))</f>
        <v>5.8333333333333334E-2</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3219</v>
      </c>
      <c r="C85" s="203">
        <f ca="1">TblPop[[#This Row],[Military%]]</f>
        <v>0.32309545317675398</v>
      </c>
      <c r="D85" s="184"/>
      <c r="E85" s="49">
        <f ca="1">OFFSET(TblMili[[#This Row],[Unit 1]],-1,0) + OFFSET(TblMili[[#This Row],[Train Unit 1]],-9,0) - TblMili[[#This Row],[Release Unit 1]]</f>
        <v>0</v>
      </c>
      <c r="F85" s="49">
        <f ca="1">OFFSET(TblMili[[#This Row],[Unit 2]],-1,0) + OFFSET(TblMili[[#This Row],[Train Unit 2]],-9,0)-TblMili[[#This Row],[Release Unit 2]]</f>
        <v>1081</v>
      </c>
      <c r="G85" s="49">
        <f ca="1">OFFSET(TblMili[[#This Row],[Unit 3]],-1,0) + OFFSET(TblMili[[#This Row],[Train Unit 3]],-12,0)-TblMili[[#This Row],[Release Unit 3]]</f>
        <v>125</v>
      </c>
      <c r="H85" s="49">
        <f ca="1">OFFSET(TblMili[[#This Row],[Unit 4]],-1,0) + OFFSET(TblMili[[#This Row],[Train Unit 4]],-12,0)-TblMili[[#This Row],[Release Unit 4]]</f>
        <v>600</v>
      </c>
      <c r="I85" s="49">
        <f ca="1">OFFSET(TblMili[[#This Row],[Spies]],-1,0) + OFFSET(TblMili[[#This Row],[Train Spies]],-12,0) - TblMili[[#This Row],[Release Spies]]</f>
        <v>35</v>
      </c>
      <c r="J85" s="49">
        <f ca="1">OFFSET(TblMili[[#This Row],[Wizards]],-1,0) + OFFSET(TblMili[[#This Row],[Train Wiz]],-12,0) - TblMili[[#This Row],[Release Wizards]]-TblMili[[#This Row],[Train Arch]]</f>
        <v>35</v>
      </c>
      <c r="K85" s="49">
        <f ca="1">OFFSET(TblMili[[#This Row],[Archmages]],-1,0) + OFFSET(TblMili[[#This Row],[Train Arch]],-12,0) - TblMili[[#This Row],[Release Arch]]</f>
        <v>0</v>
      </c>
      <c r="L85" s="184"/>
      <c r="M85" s="113">
        <f ca="1">TblProd[[#This Row],[Networth]]</f>
        <v>29507.5</v>
      </c>
      <c r="N85" s="184"/>
      <c r="O85" s="319">
        <f ca="1">TblMili[[#This Row],[Unit 1]]*spec_op+TblMili[[#This Row],[Unit 3]]*(elite1_base_op+dark_elf*TblMili[[#This Row],[Adept]])+TblMili[[#This Row],[Unit 4]]*(elite2_base_op+icekin*TblMili[[#This Row],[Ice Elemental]]+woodie*TblMili[[#This Row],[Druid (op)]]+orc*TblMili[[#This Row],[Orc]])+kobold*TblMili[[#This Row],[Overlords]]</f>
        <v>3850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5" s="319">
        <f ca="1">TblMili[[#This Row],[Raw]]*(1+TblMili[[#This Row],[Mods_Off]])</f>
        <v>4138.75</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5" s="319">
        <f ca="1">TblMili[[#This Row],[Non Draft]]+TblMili[[#This Row],[Draftees]]</f>
        <v>7136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5" s="321">
        <f ca="1">TblMili[[#This Row],[Non Draft]] * (1 + TblMili[[#This Row],[Mods_Def]])</f>
        <v>6372.3</v>
      </c>
      <c r="V85" s="319">
        <f ca="1">TblMili[[#This Row],[Draft]] * (1 + TblMili[[#This Row],[Mods_Def]])</f>
        <v>7849.6</v>
      </c>
      <c r="W85" s="319">
        <f ca="1">TblConstr[[#This Row],[Land]]</f>
        <v>600</v>
      </c>
      <c r="X85" s="322"/>
      <c r="Y85" s="327">
        <f ca="1">IF(TblMili[[#This Row],[Set]]&lt;&gt;"",TblMili[[#This Row],[Set]],OFFSET(TblMili[[#This Row],[Draftrate]],-1,0))</f>
        <v>0.9</v>
      </c>
      <c r="Z85" s="113">
        <f ca="1">OFFSET(TblMili[[#This Row],[Draftees]],-1,0)+OFFSET(TblPop[[#This Row],[Draft Growth]],-1,0) - SUM(TblMili[[#This Row],[Train Unit 1]:[Train Wiz]]) - TblMili[[#This Row],[Release Draft]] + SUM(TblMili[[#This Row],[Release Unit 1]:[Release Arch]]) -TblExplore[[#This Row],[Draftees (2)]]</f>
        <v>1343</v>
      </c>
      <c r="AA85" s="200"/>
      <c r="AB85" s="234">
        <f ca="1">(TblConstr[[#This Row],[Tot Smi]]+TblConstr[[#This Row],[Dest Smi]])/(TblConstr[[#This Row],[Land]]-TblExplore[[#This Row],[Land Bonus]]*20)</f>
        <v>0.18</v>
      </c>
      <c r="AC85" s="178"/>
      <c r="AD85" s="318">
        <f>TblMili[[#This Row],[Hour]]</f>
        <v>82</v>
      </c>
      <c r="AE85" s="179">
        <f ca="1">TblExplore[[#This Row],[Time]]</f>
        <v>44408.124999999804</v>
      </c>
      <c r="AF85" s="232"/>
      <c r="AG85" s="232"/>
      <c r="AH85" s="232"/>
      <c r="AI85" s="232"/>
      <c r="AJ85" s="232"/>
      <c r="AK85" s="232"/>
      <c r="AL85" s="232"/>
      <c r="AM85" s="184"/>
      <c r="AN85" s="113">
        <f ca="1">TblProd[[#This Row],[Platinum]]</f>
        <v>616676</v>
      </c>
      <c r="AO85" s="113">
        <f ca="1">INDEX(TblProd[[#Headers],[Lumber]]:TblProd[[#This Row],[Ore]],COUNTA(TblProd[[#Headers],[Lumber]]:TblProd[[#This Row],[Lumber]]),MATCH(Military!$AO$2,TblProd[[#Headers],[Lumber]:[Ore]],0))</f>
        <v>35390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44408.124999999804</v>
      </c>
      <c r="AT85" s="113">
        <f ca="1">TblMili[[#This Row],[Draftees]]</f>
        <v>1343</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176</v>
      </c>
      <c r="BG85" s="113">
        <f ca="1">ROUNDUP(IF(race="Gnome",1,(1-MIN(TblMili[[#This Row],[Smithies]]*smithy_bonus,smithy_bonus_cap) + tech_3_5*TblTech[[#This Row],[3-5]] + tech_5_3*TblTech[[#This Row],[5-3]] + tech_5_5*TblTech[[#This Row],[5-5]]))*spec_op_ore,0)</f>
        <v>16</v>
      </c>
      <c r="BH85" s="113">
        <f ca="1">ROUNDUP((1-MIN(TblMili[[#This Row],[Smithies]]*smithy_bonus,smithy_bonus_cap) + tech_3_5*TblTech[[#This Row],[3-5]] + tech_5_3*TblTech[[#This Row],[5-3]] + tech_5_5*TblTech[[#This Row],[5-5]])*spec_dp_plat,0)</f>
        <v>176</v>
      </c>
      <c r="BI85" s="113">
        <f ca="1">ROUNDUP(IF(race="Gnome",1,(1-MIN(TblMili[[#This Row],[Smithies]]*smithy_bonus,smithy_bonus_cap) + tech_3_5*TblTech[[#This Row],[3-5]] + tech_5_3*TblTech[[#This Row],[5-3]] + tech_5_5*TblTech[[#This Row],[5-5]]))*spec_dp_ore,0)</f>
        <v>10</v>
      </c>
      <c r="BJ85" s="113">
        <f ca="1">ROUNDUP((1-MIN(TblMili[[#This Row],[Smithies]]*smithy_bonus,smithy_bonus_cap) + tech_3_5*TblTech[[#This Row],[3-5]] + tech_5_3*TblTech[[#This Row],[5-3]] + tech_5_5*TblTech[[#This Row],[5-5]])*elite1_plat,0)</f>
        <v>656</v>
      </c>
      <c r="BK85" s="113">
        <f ca="1">ROUNDUP(IF(race="Gnome",1,(1-MIN(TblMili[[#This Row],[Smithies]]*smithy_bonus,smithy_bonus_cap) + tech_3_5*TblTech[[#This Row],[3-5]] + tech_5_3*TblTech[[#This Row],[5-3]] + tech_5_5*TblTech[[#This Row],[5-5]]))*elite1_ore,0)</f>
        <v>48</v>
      </c>
      <c r="BL85" s="113">
        <f ca="1">ROUNDUP((1-MIN(TblMili[[#This Row],[Smithies]]*smithy_bonus,smithy_bonus_cap) + tech_3_5*TblTech[[#This Row],[3-5]] + tech_5_3*TblTech[[#This Row],[5-3]] + tech_5_5*TblTech[[#This Row],[5-5]])*elite2_plat,0)</f>
        <v>800</v>
      </c>
      <c r="BM85" s="113">
        <f ca="1">ROUNDUP(IF(race="Gnome",1,(1-MIN(TblMili[[#This Row],[Smithies]]*smithy_bonus,smithy_bonus_cap) + tech_3_5*TblTech[[#This Row],[3-5]] + tech_5_3*TblTech[[#This Row],[5-3]] + tech_5_5*TblTech[[#This Row],[5-5]]))*elite2_ore,0)</f>
        <v>64</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0.75</v>
      </c>
      <c r="BS85" s="208">
        <f ca="1">TblMili[[#This Row],[WG''s]]</f>
        <v>0</v>
      </c>
      <c r="BT85" s="323">
        <f ca="1">IF(mystic_cap="none",TblMili[[#This Row],[Hill]]/mystic_bonus,MIN(mystic_cap,TblMili[[#This Row],[Hill]]/mystic_bonus))</f>
        <v>3.75</v>
      </c>
      <c r="BU85" s="323">
        <f ca="1">IF(druid_op_cap="none",TblMili[[#This Row],[Hill]]/druid_op_bonus,MIN(druid_op_cap,TblMili[[#This Row],[Hill]]/druid_op_bonus))</f>
        <v>3.75</v>
      </c>
      <c r="BV85" s="323">
        <f ca="1">IF(druid_dp_cap="none",TblMili[[#This Row],[Hill]]/druid_dp_bonus,MIN(druid_dp_cap,TblMili[[#This Row],[Hill]]/druid_dp_bonus))</f>
        <v>3.75</v>
      </c>
      <c r="BW85" s="323">
        <f ca="1">MIN(dryad_cap,TblMili[[#This Row],[Hill]]/dryad_bonus)</f>
        <v>3.75</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250</v>
      </c>
      <c r="CB85" s="124">
        <f ca="1">MIN(TblMili[[#This Row],[Unit 1]],TblMili[[#This Row],[Unit 4]])*2</f>
        <v>0</v>
      </c>
      <c r="CC85" s="323">
        <f ca="1">MIN(frost_mage_cap,TblMili[[#This Row],[Hill]]/frost_mage_bonus)</f>
        <v>3</v>
      </c>
      <c r="CD85" s="59">
        <f ca="1">MIN(ice_elem_cap,TblMili[[#This Row],[Raw (2)]]*ice_elem_bonus)</f>
        <v>5.8333333333333334E-2</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3.95</v>
      </c>
      <c r="CK8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5" s="113">
        <f ca="1">TblMili[[#This Row],[Mystic bonus]]*TblMili[[#This Row],[Unit 3]]+TblMili[[#This Row],[Druid bonus]]*TblMili[[#This Row],[Unit 4]]</f>
        <v>4836.25</v>
      </c>
      <c r="CM85" s="201">
        <f ca="1">MIN(6,TblMili[[#This Row],[Dryad]]+Races!$F$35)*1.8 +  IF(TblMili[[#This Row],[Dryad]]+Races!$F$35&gt;6,(TblMili[[#This Row],[Dryad]]+Races!$F$35-6)*0.2,0) - Races!$I$19</f>
        <v>3.7500000000000009</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5.4</v>
      </c>
      <c r="CT85" s="201">
        <f ca="1">1.8 * MIN(MAX(TblMili[[#This Row],[Ice Elemental]]+Races!$E$71,Races!$F$71),6)  +  0.45 * MIN(MIN(TblMili[[#This Row],[Ice Elemental]]+Races!$E$71,Races!$F$71),6)  +  0.2 * ( MAX(TblMili[[#This Row],[Ice Elemental]]+Races!$E$71-6,0) + MAX(Races!$F$71-6,0) )  -  Races!$I$71</f>
        <v>0.10500000000000043</v>
      </c>
      <c r="CU85" s="113">
        <f ca="1">TblMili[[#This Row],[Frost Mage bonus]]*TblMili[[#This Row],[Unit 3]]+TblMili[[#This Row],[Ice Elemental bonus]]*TblMili[[#This Row],[Unit 4]]</f>
        <v>738.00000000000023</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5" s="184"/>
      <c r="DA85" s="326">
        <f ca="1">(TblMili[[#This Row],[Wizards]]+2*TblMili[[#This Row],[Archmages]])/TblConstr[[#This Row],[Land]]</f>
        <v>5.8333333333333334E-2</v>
      </c>
      <c r="DB85" s="326">
        <f ca="1">TblMili[[#This Row],[Raw (2)]]*(1+race_wizard_strength+IF(TblMili[[#This Row],[Hour]]&gt;72,tech_magical_weaponry_wiz*TblTech[[#This Row],[3-5]],0))</f>
        <v>5.8333333333333334E-2</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3286</v>
      </c>
      <c r="C86" s="203">
        <f ca="1">TblPop[[#This Row],[Military%]]</f>
        <v>0.32982033524038945</v>
      </c>
      <c r="D86" s="184"/>
      <c r="E86" s="49">
        <f ca="1">OFFSET(TblMili[[#This Row],[Unit 1]],-1,0) + OFFSET(TblMili[[#This Row],[Train Unit 1]],-9,0) - TblMili[[#This Row],[Release Unit 1]]</f>
        <v>0</v>
      </c>
      <c r="F86" s="49">
        <f ca="1">OFFSET(TblMili[[#This Row],[Unit 2]],-1,0) + OFFSET(TblMili[[#This Row],[Train Unit 2]],-9,0)-TblMili[[#This Row],[Release Unit 2]]</f>
        <v>1081</v>
      </c>
      <c r="G86" s="49">
        <f ca="1">OFFSET(TblMili[[#This Row],[Unit 3]],-1,0) + OFFSET(TblMili[[#This Row],[Train Unit 3]],-12,0)-TblMili[[#This Row],[Release Unit 3]]</f>
        <v>125</v>
      </c>
      <c r="H86" s="49">
        <f ca="1">OFFSET(TblMili[[#This Row],[Unit 4]],-1,0) + OFFSET(TblMili[[#This Row],[Train Unit 4]],-12,0)-TblMili[[#This Row],[Release Unit 4]]</f>
        <v>600</v>
      </c>
      <c r="I86" s="49">
        <f ca="1">OFFSET(TblMili[[#This Row],[Spies]],-1,0) + OFFSET(TblMili[[#This Row],[Train Spies]],-12,0) - TblMili[[#This Row],[Release Spies]]</f>
        <v>35</v>
      </c>
      <c r="J86" s="49">
        <f ca="1">OFFSET(TblMili[[#This Row],[Wizards]],-1,0) + OFFSET(TblMili[[#This Row],[Train Wiz]],-12,0) - TblMili[[#This Row],[Release Wizards]]-TblMili[[#This Row],[Train Arch]]</f>
        <v>35</v>
      </c>
      <c r="K86" s="49">
        <f ca="1">OFFSET(TblMili[[#This Row],[Archmages]],-1,0) + OFFSET(TblMili[[#This Row],[Train Arch]],-12,0) - TblMili[[#This Row],[Release Arch]]</f>
        <v>0</v>
      </c>
      <c r="L86" s="184"/>
      <c r="M86" s="113">
        <f ca="1">TblProd[[#This Row],[Networth]]</f>
        <v>29507.5</v>
      </c>
      <c r="N86" s="184"/>
      <c r="O86" s="319">
        <f ca="1">TblMili[[#This Row],[Unit 1]]*spec_op+TblMili[[#This Row],[Unit 3]]*(elite1_base_op+dark_elf*TblMili[[#This Row],[Adept]])+TblMili[[#This Row],[Unit 4]]*(elite2_base_op+icekin*TblMili[[#This Row],[Ice Elemental]]+woodie*TblMili[[#This Row],[Druid (op)]]+orc*TblMili[[#This Row],[Orc]])+kobold*TblMili[[#This Row],[Overlords]]</f>
        <v>3850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6" s="319">
        <f ca="1">TblMili[[#This Row],[Raw]]*(1+TblMili[[#This Row],[Mods_Off]])</f>
        <v>4138.75</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6" s="319">
        <f ca="1">TblMili[[#This Row],[Non Draft]]+TblMili[[#This Row],[Draftees]]</f>
        <v>7203</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6" s="321">
        <f ca="1">TblMili[[#This Row],[Non Draft]] * (1 + TblMili[[#This Row],[Mods_Def]])</f>
        <v>6372.3</v>
      </c>
      <c r="V86" s="319">
        <f ca="1">TblMili[[#This Row],[Draft]] * (1 + TblMili[[#This Row],[Mods_Def]])</f>
        <v>7923.3000000000011</v>
      </c>
      <c r="W86" s="319">
        <f ca="1">TblConstr[[#This Row],[Land]]</f>
        <v>600</v>
      </c>
      <c r="X86" s="322"/>
      <c r="Y86" s="327">
        <f ca="1">IF(TblMili[[#This Row],[Set]]&lt;&gt;"",TblMili[[#This Row],[Set]],OFFSET(TblMili[[#This Row],[Draftrate]],-1,0))</f>
        <v>0.9</v>
      </c>
      <c r="Z86" s="113">
        <f ca="1">OFFSET(TblMili[[#This Row],[Draftees]],-1,0)+OFFSET(TblPop[[#This Row],[Draft Growth]],-1,0) - SUM(TblMili[[#This Row],[Train Unit 1]:[Train Wiz]]) - TblMili[[#This Row],[Release Draft]] + SUM(TblMili[[#This Row],[Release Unit 1]:[Release Arch]]) -TblExplore[[#This Row],[Draftees (2)]]</f>
        <v>1410</v>
      </c>
      <c r="AA86" s="200"/>
      <c r="AB86" s="234">
        <f ca="1">(TblConstr[[#This Row],[Tot Smi]]+TblConstr[[#This Row],[Dest Smi]])/(TblConstr[[#This Row],[Land]]-TblExplore[[#This Row],[Land Bonus]]*20)</f>
        <v>0.18</v>
      </c>
      <c r="AC86" s="178"/>
      <c r="AD86" s="318">
        <f>TblMili[[#This Row],[Hour]]</f>
        <v>83</v>
      </c>
      <c r="AE86" s="179">
        <f ca="1">TblExplore[[#This Row],[Time]]</f>
        <v>44408.166666666468</v>
      </c>
      <c r="AF86" s="232"/>
      <c r="AG86" s="232"/>
      <c r="AH86" s="232"/>
      <c r="AI86" s="232"/>
      <c r="AJ86" s="232"/>
      <c r="AK86" s="232"/>
      <c r="AL86" s="232"/>
      <c r="AM86" s="184"/>
      <c r="AN86" s="113">
        <f ca="1">TblProd[[#This Row],[Platinum]]</f>
        <v>646764</v>
      </c>
      <c r="AO86" s="113">
        <f ca="1">INDEX(TblProd[[#Headers],[Lumber]]:TblProd[[#This Row],[Ore]],COUNTA(TblProd[[#Headers],[Lumber]]:TblProd[[#This Row],[Lumber]]),MATCH(Military!$AO$2,TblProd[[#Headers],[Lumber]:[Ore]],0))</f>
        <v>37190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44408.166666666468</v>
      </c>
      <c r="AT86" s="113">
        <f ca="1">TblMili[[#This Row],[Draftees]]</f>
        <v>1410</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176</v>
      </c>
      <c r="BG86" s="113">
        <f ca="1">ROUNDUP(IF(race="Gnome",1,(1-MIN(TblMili[[#This Row],[Smithies]]*smithy_bonus,smithy_bonus_cap) + tech_3_5*TblTech[[#This Row],[3-5]] + tech_5_3*TblTech[[#This Row],[5-3]] + tech_5_5*TblTech[[#This Row],[5-5]]))*spec_op_ore,0)</f>
        <v>16</v>
      </c>
      <c r="BH86" s="113">
        <f ca="1">ROUNDUP((1-MIN(TblMili[[#This Row],[Smithies]]*smithy_bonus,smithy_bonus_cap) + tech_3_5*TblTech[[#This Row],[3-5]] + tech_5_3*TblTech[[#This Row],[5-3]] + tech_5_5*TblTech[[#This Row],[5-5]])*spec_dp_plat,0)</f>
        <v>176</v>
      </c>
      <c r="BI86" s="113">
        <f ca="1">ROUNDUP(IF(race="Gnome",1,(1-MIN(TblMili[[#This Row],[Smithies]]*smithy_bonus,smithy_bonus_cap) + tech_3_5*TblTech[[#This Row],[3-5]] + tech_5_3*TblTech[[#This Row],[5-3]] + tech_5_5*TblTech[[#This Row],[5-5]]))*spec_dp_ore,0)</f>
        <v>10</v>
      </c>
      <c r="BJ86" s="113">
        <f ca="1">ROUNDUP((1-MIN(TblMili[[#This Row],[Smithies]]*smithy_bonus,smithy_bonus_cap) + tech_3_5*TblTech[[#This Row],[3-5]] + tech_5_3*TblTech[[#This Row],[5-3]] + tech_5_5*TblTech[[#This Row],[5-5]])*elite1_plat,0)</f>
        <v>656</v>
      </c>
      <c r="BK86" s="113">
        <f ca="1">ROUNDUP(IF(race="Gnome",1,(1-MIN(TblMili[[#This Row],[Smithies]]*smithy_bonus,smithy_bonus_cap) + tech_3_5*TblTech[[#This Row],[3-5]] + tech_5_3*TblTech[[#This Row],[5-3]] + tech_5_5*TblTech[[#This Row],[5-5]]))*elite1_ore,0)</f>
        <v>48</v>
      </c>
      <c r="BL86" s="113">
        <f ca="1">ROUNDUP((1-MIN(TblMili[[#This Row],[Smithies]]*smithy_bonus,smithy_bonus_cap) + tech_3_5*TblTech[[#This Row],[3-5]] + tech_5_3*TblTech[[#This Row],[5-3]] + tech_5_5*TblTech[[#This Row],[5-5]])*elite2_plat,0)</f>
        <v>800</v>
      </c>
      <c r="BM86" s="113">
        <f ca="1">ROUNDUP(IF(race="Gnome",1,(1-MIN(TblMili[[#This Row],[Smithies]]*smithy_bonus,smithy_bonus_cap) + tech_3_5*TblTech[[#This Row],[3-5]] + tech_5_3*TblTech[[#This Row],[5-3]] + tech_5_5*TblTech[[#This Row],[5-5]]))*elite2_ore,0)</f>
        <v>64</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0.75</v>
      </c>
      <c r="BS86" s="208">
        <f ca="1">TblMili[[#This Row],[WG''s]]</f>
        <v>0</v>
      </c>
      <c r="BT86" s="323">
        <f ca="1">IF(mystic_cap="none",TblMili[[#This Row],[Hill]]/mystic_bonus,MIN(mystic_cap,TblMili[[#This Row],[Hill]]/mystic_bonus))</f>
        <v>3.75</v>
      </c>
      <c r="BU86" s="323">
        <f ca="1">IF(druid_op_cap="none",TblMili[[#This Row],[Hill]]/druid_op_bonus,MIN(druid_op_cap,TblMili[[#This Row],[Hill]]/druid_op_bonus))</f>
        <v>3.75</v>
      </c>
      <c r="BV86" s="323">
        <f ca="1">IF(druid_dp_cap="none",TblMili[[#This Row],[Hill]]/druid_dp_bonus,MIN(druid_dp_cap,TblMili[[#This Row],[Hill]]/druid_dp_bonus))</f>
        <v>3.75</v>
      </c>
      <c r="BW86" s="323">
        <f ca="1">MIN(dryad_cap,TblMili[[#This Row],[Hill]]/dryad_bonus)</f>
        <v>3.75</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250</v>
      </c>
      <c r="CB86" s="124">
        <f ca="1">MIN(TblMili[[#This Row],[Unit 1]],TblMili[[#This Row],[Unit 4]])*2</f>
        <v>0</v>
      </c>
      <c r="CC86" s="323">
        <f ca="1">MIN(frost_mage_cap,TblMili[[#This Row],[Hill]]/frost_mage_bonus)</f>
        <v>3</v>
      </c>
      <c r="CD86" s="59">
        <f ca="1">MIN(ice_elem_cap,TblMili[[#This Row],[Raw (2)]]*ice_elem_bonus)</f>
        <v>5.8333333333333334E-2</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3.95</v>
      </c>
      <c r="CK8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6" s="113">
        <f ca="1">TblMili[[#This Row],[Mystic bonus]]*TblMili[[#This Row],[Unit 3]]+TblMili[[#This Row],[Druid bonus]]*TblMili[[#This Row],[Unit 4]]</f>
        <v>4836.25</v>
      </c>
      <c r="CM86" s="201">
        <f ca="1">MIN(6,TblMili[[#This Row],[Dryad]]+Races!$F$35)*1.8 +  IF(TblMili[[#This Row],[Dryad]]+Races!$F$35&gt;6,(TblMili[[#This Row],[Dryad]]+Races!$F$35-6)*0.2,0) - Races!$I$19</f>
        <v>3.7500000000000009</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5.4</v>
      </c>
      <c r="CT86" s="201">
        <f ca="1">1.8 * MIN(MAX(TblMili[[#This Row],[Ice Elemental]]+Races!$E$71,Races!$F$71),6)  +  0.45 * MIN(MIN(TblMili[[#This Row],[Ice Elemental]]+Races!$E$71,Races!$F$71),6)  +  0.2 * ( MAX(TblMili[[#This Row],[Ice Elemental]]+Races!$E$71-6,0) + MAX(Races!$F$71-6,0) )  -  Races!$I$71</f>
        <v>0.10500000000000043</v>
      </c>
      <c r="CU86" s="113">
        <f ca="1">TblMili[[#This Row],[Frost Mage bonus]]*TblMili[[#This Row],[Unit 3]]+TblMili[[#This Row],[Ice Elemental bonus]]*TblMili[[#This Row],[Unit 4]]</f>
        <v>738.00000000000023</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6" s="184"/>
      <c r="DA86" s="326">
        <f ca="1">(TblMili[[#This Row],[Wizards]]+2*TblMili[[#This Row],[Archmages]])/TblConstr[[#This Row],[Land]]</f>
        <v>5.8333333333333334E-2</v>
      </c>
      <c r="DB86" s="326">
        <f ca="1">TblMili[[#This Row],[Raw (2)]]*(1+race_wizard_strength+IF(TblMili[[#This Row],[Hour]]&gt;72,tech_magical_weaponry_wiz*TblTech[[#This Row],[3-5]],0))</f>
        <v>5.8333333333333334E-2</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3353</v>
      </c>
      <c r="C87" s="203">
        <f ca="1">TblPop[[#This Row],[Military%]]</f>
        <v>0.33654521730402487</v>
      </c>
      <c r="D87" s="184"/>
      <c r="E87" s="49">
        <f ca="1">OFFSET(TblMili[[#This Row],[Unit 1]],-1,0) + OFFSET(TblMili[[#This Row],[Train Unit 1]],-9,0) - TblMili[[#This Row],[Release Unit 1]]</f>
        <v>0</v>
      </c>
      <c r="F87" s="49">
        <f ca="1">OFFSET(TblMili[[#This Row],[Unit 2]],-1,0) + OFFSET(TblMili[[#This Row],[Train Unit 2]],-9,0)-TblMili[[#This Row],[Release Unit 2]]</f>
        <v>1081</v>
      </c>
      <c r="G87" s="49">
        <f ca="1">OFFSET(TblMili[[#This Row],[Unit 3]],-1,0) + OFFSET(TblMili[[#This Row],[Train Unit 3]],-12,0)-TblMili[[#This Row],[Release Unit 3]]</f>
        <v>125</v>
      </c>
      <c r="H87" s="49">
        <f ca="1">OFFSET(TblMili[[#This Row],[Unit 4]],-1,0) + OFFSET(TblMili[[#This Row],[Train Unit 4]],-12,0)-TblMili[[#This Row],[Release Unit 4]]</f>
        <v>600</v>
      </c>
      <c r="I87" s="49">
        <f ca="1">OFFSET(TblMili[[#This Row],[Spies]],-1,0) + OFFSET(TblMili[[#This Row],[Train Spies]],-12,0) - TblMili[[#This Row],[Release Spies]]</f>
        <v>35</v>
      </c>
      <c r="J87" s="49">
        <f ca="1">OFFSET(TblMili[[#This Row],[Wizards]],-1,0) + OFFSET(TblMili[[#This Row],[Train Wiz]],-12,0) - TblMili[[#This Row],[Release Wizards]]-TblMili[[#This Row],[Train Arch]]</f>
        <v>35</v>
      </c>
      <c r="K87" s="49">
        <f ca="1">OFFSET(TblMili[[#This Row],[Archmages]],-1,0) + OFFSET(TblMili[[#This Row],[Train Arch]],-12,0) - TblMili[[#This Row],[Release Arch]]</f>
        <v>0</v>
      </c>
      <c r="L87" s="184"/>
      <c r="M87" s="113">
        <f ca="1">TblProd[[#This Row],[Networth]]</f>
        <v>29507.5</v>
      </c>
      <c r="N87" s="184"/>
      <c r="O87" s="319">
        <f ca="1">TblMili[[#This Row],[Unit 1]]*spec_op+TblMili[[#This Row],[Unit 3]]*(elite1_base_op+dark_elf*TblMili[[#This Row],[Adept]])+TblMili[[#This Row],[Unit 4]]*(elite2_base_op+icekin*TblMili[[#This Row],[Ice Elemental]]+woodie*TblMili[[#This Row],[Druid (op)]]+orc*TblMili[[#This Row],[Orc]])+kobold*TblMili[[#This Row],[Overlords]]</f>
        <v>3850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7" s="319">
        <f ca="1">TblMili[[#This Row],[Raw]]*(1+TblMili[[#This Row],[Mods_Off]])</f>
        <v>4138.75</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7" s="319">
        <f ca="1">TblMili[[#This Row],[Non Draft]]+TblMili[[#This Row],[Draftees]]</f>
        <v>7270</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7" s="321">
        <f ca="1">TblMili[[#This Row],[Non Draft]] * (1 + TblMili[[#This Row],[Mods_Def]])</f>
        <v>6372.3</v>
      </c>
      <c r="V87" s="319">
        <f ca="1">TblMili[[#This Row],[Draft]] * (1 + TblMili[[#This Row],[Mods_Def]])</f>
        <v>7997.0000000000009</v>
      </c>
      <c r="W87" s="319">
        <f ca="1">TblConstr[[#This Row],[Land]]</f>
        <v>600</v>
      </c>
      <c r="X87" s="322"/>
      <c r="Y87" s="327">
        <f ca="1">IF(TblMili[[#This Row],[Set]]&lt;&gt;"",TblMili[[#This Row],[Set]],OFFSET(TblMili[[#This Row],[Draftrate]],-1,0))</f>
        <v>0.9</v>
      </c>
      <c r="Z87" s="113">
        <f ca="1">OFFSET(TblMili[[#This Row],[Draftees]],-1,0)+OFFSET(TblPop[[#This Row],[Draft Growth]],-1,0) - SUM(TblMili[[#This Row],[Train Unit 1]:[Train Wiz]]) - TblMili[[#This Row],[Release Draft]] + SUM(TblMili[[#This Row],[Release Unit 1]:[Release Arch]]) -TblExplore[[#This Row],[Draftees (2)]]</f>
        <v>1477</v>
      </c>
      <c r="AA87" s="200"/>
      <c r="AB87" s="234">
        <f ca="1">(TblConstr[[#This Row],[Tot Smi]]+TblConstr[[#This Row],[Dest Smi]])/(TblConstr[[#This Row],[Land]]-TblExplore[[#This Row],[Land Bonus]]*20)</f>
        <v>0.18</v>
      </c>
      <c r="AC87" s="178"/>
      <c r="AD87" s="318">
        <f>TblMili[[#This Row],[Hour]]</f>
        <v>84</v>
      </c>
      <c r="AE87" s="179">
        <f ca="1">TblExplore[[#This Row],[Time]]</f>
        <v>44408.208333333132</v>
      </c>
      <c r="AF87" s="232"/>
      <c r="AG87" s="232"/>
      <c r="AH87" s="232"/>
      <c r="AI87" s="232"/>
      <c r="AJ87" s="232"/>
      <c r="AK87" s="232"/>
      <c r="AL87" s="232"/>
      <c r="AM87" s="184"/>
      <c r="AN87" s="113">
        <f ca="1">TblProd[[#This Row],[Platinum]]</f>
        <v>676671</v>
      </c>
      <c r="AO87" s="113">
        <f ca="1">INDEX(TblProd[[#Headers],[Lumber]]:TblProd[[#This Row],[Ore]],COUNTA(TblProd[[#Headers],[Lumber]]:TblProd[[#This Row],[Lumber]]),MATCH(Military!$AO$2,TblProd[[#Headers],[Lumber]:[Ore]],0))</f>
        <v>38990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44408.208333333132</v>
      </c>
      <c r="AT87" s="113">
        <f ca="1">TblMili[[#This Row],[Draftees]]</f>
        <v>1477</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176</v>
      </c>
      <c r="BG87" s="113">
        <f ca="1">ROUNDUP(IF(race="Gnome",1,(1-MIN(TblMili[[#This Row],[Smithies]]*smithy_bonus,smithy_bonus_cap) + tech_3_5*TblTech[[#This Row],[3-5]] + tech_5_3*TblTech[[#This Row],[5-3]] + tech_5_5*TblTech[[#This Row],[5-5]]))*spec_op_ore,0)</f>
        <v>16</v>
      </c>
      <c r="BH87" s="113">
        <f ca="1">ROUNDUP((1-MIN(TblMili[[#This Row],[Smithies]]*smithy_bonus,smithy_bonus_cap) + tech_3_5*TblTech[[#This Row],[3-5]] + tech_5_3*TblTech[[#This Row],[5-3]] + tech_5_5*TblTech[[#This Row],[5-5]])*spec_dp_plat,0)</f>
        <v>176</v>
      </c>
      <c r="BI87" s="113">
        <f ca="1">ROUNDUP(IF(race="Gnome",1,(1-MIN(TblMili[[#This Row],[Smithies]]*smithy_bonus,smithy_bonus_cap) + tech_3_5*TblTech[[#This Row],[3-5]] + tech_5_3*TblTech[[#This Row],[5-3]] + tech_5_5*TblTech[[#This Row],[5-5]]))*spec_dp_ore,0)</f>
        <v>10</v>
      </c>
      <c r="BJ87" s="113">
        <f ca="1">ROUNDUP((1-MIN(TblMili[[#This Row],[Smithies]]*smithy_bonus,smithy_bonus_cap) + tech_3_5*TblTech[[#This Row],[3-5]] + tech_5_3*TblTech[[#This Row],[5-3]] + tech_5_5*TblTech[[#This Row],[5-5]])*elite1_plat,0)</f>
        <v>656</v>
      </c>
      <c r="BK87" s="113">
        <f ca="1">ROUNDUP(IF(race="Gnome",1,(1-MIN(TblMili[[#This Row],[Smithies]]*smithy_bonus,smithy_bonus_cap) + tech_3_5*TblTech[[#This Row],[3-5]] + tech_5_3*TblTech[[#This Row],[5-3]] + tech_5_5*TblTech[[#This Row],[5-5]]))*elite1_ore,0)</f>
        <v>48</v>
      </c>
      <c r="BL87" s="113">
        <f ca="1">ROUNDUP((1-MIN(TblMili[[#This Row],[Smithies]]*smithy_bonus,smithy_bonus_cap) + tech_3_5*TblTech[[#This Row],[3-5]] + tech_5_3*TblTech[[#This Row],[5-3]] + tech_5_5*TblTech[[#This Row],[5-5]])*elite2_plat,0)</f>
        <v>800</v>
      </c>
      <c r="BM87" s="113">
        <f ca="1">ROUNDUP(IF(race="Gnome",1,(1-MIN(TblMili[[#This Row],[Smithies]]*smithy_bonus,smithy_bonus_cap) + tech_3_5*TblTech[[#This Row],[3-5]] + tech_5_3*TblTech[[#This Row],[5-3]] + tech_5_5*TblTech[[#This Row],[5-5]]))*elite2_ore,0)</f>
        <v>64</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0.75</v>
      </c>
      <c r="BS87" s="208">
        <f ca="1">TblMili[[#This Row],[WG''s]]</f>
        <v>0</v>
      </c>
      <c r="BT87" s="323">
        <f ca="1">IF(mystic_cap="none",TblMili[[#This Row],[Hill]]/mystic_bonus,MIN(mystic_cap,TblMili[[#This Row],[Hill]]/mystic_bonus))</f>
        <v>3.75</v>
      </c>
      <c r="BU87" s="323">
        <f ca="1">IF(druid_op_cap="none",TblMili[[#This Row],[Hill]]/druid_op_bonus,MIN(druid_op_cap,TblMili[[#This Row],[Hill]]/druid_op_bonus))</f>
        <v>3.75</v>
      </c>
      <c r="BV87" s="323">
        <f ca="1">IF(druid_dp_cap="none",TblMili[[#This Row],[Hill]]/druid_dp_bonus,MIN(druid_dp_cap,TblMili[[#This Row],[Hill]]/druid_dp_bonus))</f>
        <v>3.75</v>
      </c>
      <c r="BW87" s="323">
        <f ca="1">MIN(dryad_cap,TblMili[[#This Row],[Hill]]/dryad_bonus)</f>
        <v>3.75</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250</v>
      </c>
      <c r="CB87" s="124">
        <f ca="1">MIN(TblMili[[#This Row],[Unit 1]],TblMili[[#This Row],[Unit 4]])*2</f>
        <v>0</v>
      </c>
      <c r="CC87" s="323">
        <f ca="1">MIN(frost_mage_cap,TblMili[[#This Row],[Hill]]/frost_mage_bonus)</f>
        <v>3</v>
      </c>
      <c r="CD87" s="59">
        <f ca="1">MIN(ice_elem_cap,TblMili[[#This Row],[Raw (2)]]*ice_elem_bonus)</f>
        <v>5.8333333333333334E-2</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3.95</v>
      </c>
      <c r="CK8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7" s="113">
        <f ca="1">TblMili[[#This Row],[Mystic bonus]]*TblMili[[#This Row],[Unit 3]]+TblMili[[#This Row],[Druid bonus]]*TblMili[[#This Row],[Unit 4]]</f>
        <v>4836.25</v>
      </c>
      <c r="CM87" s="201">
        <f ca="1">MIN(6,TblMili[[#This Row],[Dryad]]+Races!$F$35)*1.8 +  IF(TblMili[[#This Row],[Dryad]]+Races!$F$35&gt;6,(TblMili[[#This Row],[Dryad]]+Races!$F$35-6)*0.2,0) - Races!$I$19</f>
        <v>3.7500000000000009</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5.4</v>
      </c>
      <c r="CT87" s="201">
        <f ca="1">1.8 * MIN(MAX(TblMili[[#This Row],[Ice Elemental]]+Races!$E$71,Races!$F$71),6)  +  0.45 * MIN(MIN(TblMili[[#This Row],[Ice Elemental]]+Races!$E$71,Races!$F$71),6)  +  0.2 * ( MAX(TblMili[[#This Row],[Ice Elemental]]+Races!$E$71-6,0) + MAX(Races!$F$71-6,0) )  -  Races!$I$71</f>
        <v>0.10500000000000043</v>
      </c>
      <c r="CU87" s="113">
        <f ca="1">TblMili[[#This Row],[Frost Mage bonus]]*TblMili[[#This Row],[Unit 3]]+TblMili[[#This Row],[Ice Elemental bonus]]*TblMili[[#This Row],[Unit 4]]</f>
        <v>738.00000000000023</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7" s="184"/>
      <c r="DA87" s="326">
        <f ca="1">(TblMili[[#This Row],[Wizards]]+2*TblMili[[#This Row],[Archmages]])/TblConstr[[#This Row],[Land]]</f>
        <v>5.8333333333333334E-2</v>
      </c>
      <c r="DB87" s="326">
        <f ca="1">TblMili[[#This Row],[Raw (2)]]*(1+race_wizard_strength+IF(TblMili[[#This Row],[Hour]]&gt;72,tech_magical_weaponry_wiz*TblTech[[#This Row],[3-5]],0))</f>
        <v>5.8333333333333334E-2</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3419</v>
      </c>
      <c r="C88" s="203">
        <f ca="1">TblPop[[#This Row],[Military%]]</f>
        <v>0.34316972799357626</v>
      </c>
      <c r="D88" s="184"/>
      <c r="E88" s="49">
        <f ca="1">OFFSET(TblMili[[#This Row],[Unit 1]],-1,0) + OFFSET(TblMili[[#This Row],[Train Unit 1]],-9,0) - TblMili[[#This Row],[Release Unit 1]]</f>
        <v>0</v>
      </c>
      <c r="F88" s="49">
        <f ca="1">OFFSET(TblMili[[#This Row],[Unit 2]],-1,0) + OFFSET(TblMili[[#This Row],[Train Unit 2]],-9,0)-TblMili[[#This Row],[Release Unit 2]]</f>
        <v>1081</v>
      </c>
      <c r="G88" s="49">
        <f ca="1">OFFSET(TblMili[[#This Row],[Unit 3]],-1,0) + OFFSET(TblMili[[#This Row],[Train Unit 3]],-12,0)-TblMili[[#This Row],[Release Unit 3]]</f>
        <v>125</v>
      </c>
      <c r="H88" s="49">
        <f ca="1">OFFSET(TblMili[[#This Row],[Unit 4]],-1,0) + OFFSET(TblMili[[#This Row],[Train Unit 4]],-12,0)-TblMili[[#This Row],[Release Unit 4]]</f>
        <v>600</v>
      </c>
      <c r="I88" s="49">
        <f ca="1">OFFSET(TblMili[[#This Row],[Spies]],-1,0) + OFFSET(TblMili[[#This Row],[Train Spies]],-12,0) - TblMili[[#This Row],[Release Spies]]</f>
        <v>35</v>
      </c>
      <c r="J88" s="49">
        <f ca="1">OFFSET(TblMili[[#This Row],[Wizards]],-1,0) + OFFSET(TblMili[[#This Row],[Train Wiz]],-12,0) - TblMili[[#This Row],[Release Wizards]]-TblMili[[#This Row],[Train Arch]]</f>
        <v>35</v>
      </c>
      <c r="K88" s="49">
        <f ca="1">OFFSET(TblMili[[#This Row],[Archmages]],-1,0) + OFFSET(TblMili[[#This Row],[Train Arch]],-12,0) - TblMili[[#This Row],[Release Arch]]</f>
        <v>0</v>
      </c>
      <c r="L88" s="184"/>
      <c r="M88" s="113">
        <f ca="1">TblProd[[#This Row],[Networth]]</f>
        <v>29507.5</v>
      </c>
      <c r="N88" s="184"/>
      <c r="O88" s="319">
        <f ca="1">TblMili[[#This Row],[Unit 1]]*spec_op+TblMili[[#This Row],[Unit 3]]*(elite1_base_op+dark_elf*TblMili[[#This Row],[Adept]])+TblMili[[#This Row],[Unit 4]]*(elite2_base_op+icekin*TblMili[[#This Row],[Ice Elemental]]+woodie*TblMili[[#This Row],[Druid (op)]]+orc*TblMili[[#This Row],[Orc]])+kobold*TblMili[[#This Row],[Overlords]]</f>
        <v>3850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3946.2499999999995</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8" s="319">
        <f ca="1">TblMili[[#This Row],[Non Draft]]+TblMili[[#This Row],[Draftees]]</f>
        <v>7336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5793</v>
      </c>
      <c r="V88" s="319">
        <f ca="1">TblMili[[#This Row],[Draft]] * (1 + TblMili[[#This Row],[Mods_Def]])</f>
        <v>7336</v>
      </c>
      <c r="W88" s="319">
        <f ca="1">TblConstr[[#This Row],[Land]]</f>
        <v>600</v>
      </c>
      <c r="X88" s="322"/>
      <c r="Y88" s="327">
        <f ca="1">IF(TblMili[[#This Row],[Set]]&lt;&gt;"",TblMili[[#This Row],[Set]],OFFSET(TblMili[[#This Row],[Draftrate]],-1,0))</f>
        <v>0.9</v>
      </c>
      <c r="Z88" s="113">
        <f ca="1">OFFSET(TblMili[[#This Row],[Draftees]],-1,0)+OFFSET(TblPop[[#This Row],[Draft Growth]],-1,0) - SUM(TblMili[[#This Row],[Train Unit 1]:[Train Wiz]]) - TblMili[[#This Row],[Release Draft]] + SUM(TblMili[[#This Row],[Release Unit 1]:[Release Arch]]) -TblExplore[[#This Row],[Draftees (2)]]</f>
        <v>1543</v>
      </c>
      <c r="AA88" s="200"/>
      <c r="AB88" s="234">
        <f ca="1">(TblConstr[[#This Row],[Tot Smi]]+TblConstr[[#This Row],[Dest Smi]])/(TblConstr[[#This Row],[Land]]-TblExplore[[#This Row],[Land Bonus]]*20)</f>
        <v>0.18</v>
      </c>
      <c r="AC88" s="318"/>
      <c r="AD88" s="318">
        <f>TblMili[[#This Row],[Hour]]</f>
        <v>85</v>
      </c>
      <c r="AE88" s="179">
        <f ca="1">TblExplore[[#This Row],[Time]]</f>
        <v>44408.249999999796</v>
      </c>
      <c r="AF88" s="232"/>
      <c r="AG88" s="232"/>
      <c r="AH88" s="232"/>
      <c r="AI88" s="232"/>
      <c r="AJ88" s="232"/>
      <c r="AK88" s="232"/>
      <c r="AL88" s="232"/>
      <c r="AM88" s="184"/>
      <c r="AN88" s="113">
        <f ca="1">TblProd[[#This Row],[Platinum]]</f>
        <v>706398</v>
      </c>
      <c r="AO88" s="113">
        <f ca="1">INDEX(TblProd[[#Headers],[Lumber]]:TblProd[[#This Row],[Ore]],COUNTA(TblProd[[#Headers],[Lumber]]:TblProd[[#This Row],[Lumber]]),MATCH(Military!$AO$2,TblProd[[#Headers],[Lumber]:[Ore]],0))</f>
        <v>40790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44408.249999999796</v>
      </c>
      <c r="AT88" s="113">
        <f ca="1">TblMili[[#This Row],[Draftees]]</f>
        <v>1543</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176</v>
      </c>
      <c r="BG88" s="113">
        <f ca="1">ROUNDUP(IF(race="Gnome",1,(1-MIN(TblMili[[#This Row],[Smithies]]*smithy_bonus,smithy_bonus_cap) + tech_3_5*TblTech[[#This Row],[3-5]] + tech_5_3*TblTech[[#This Row],[5-3]] + tech_5_5*TblTech[[#This Row],[5-5]]))*spec_op_ore,0)</f>
        <v>16</v>
      </c>
      <c r="BH88" s="113">
        <f ca="1">ROUNDUP((1-MIN(TblMili[[#This Row],[Smithies]]*smithy_bonus,smithy_bonus_cap) + tech_3_5*TblTech[[#This Row],[3-5]] + tech_5_3*TblTech[[#This Row],[5-3]] + tech_5_5*TblTech[[#This Row],[5-5]])*spec_dp_plat,0)</f>
        <v>176</v>
      </c>
      <c r="BI88" s="113">
        <f ca="1">ROUNDUP(IF(race="Gnome",1,(1-MIN(TblMili[[#This Row],[Smithies]]*smithy_bonus,smithy_bonus_cap) + tech_3_5*TblTech[[#This Row],[3-5]] + tech_5_3*TblTech[[#This Row],[5-3]] + tech_5_5*TblTech[[#This Row],[5-5]]))*spec_dp_ore,0)</f>
        <v>10</v>
      </c>
      <c r="BJ88" s="113">
        <f ca="1">ROUNDUP((1-MIN(TblMili[[#This Row],[Smithies]]*smithy_bonus,smithy_bonus_cap) + tech_3_5*TblTech[[#This Row],[3-5]] + tech_5_3*TblTech[[#This Row],[5-3]] + tech_5_5*TblTech[[#This Row],[5-5]])*elite1_plat,0)</f>
        <v>656</v>
      </c>
      <c r="BK88" s="113">
        <f ca="1">ROUNDUP(IF(race="Gnome",1,(1-MIN(TblMili[[#This Row],[Smithies]]*smithy_bonus,smithy_bonus_cap) + tech_3_5*TblTech[[#This Row],[3-5]] + tech_5_3*TblTech[[#This Row],[5-3]] + tech_5_5*TblTech[[#This Row],[5-5]]))*elite1_ore,0)</f>
        <v>48</v>
      </c>
      <c r="BL88" s="113">
        <f ca="1">ROUNDUP((1-MIN(TblMili[[#This Row],[Smithies]]*smithy_bonus,smithy_bonus_cap) + tech_3_5*TblTech[[#This Row],[3-5]] + tech_5_3*TblTech[[#This Row],[5-3]] + tech_5_5*TblTech[[#This Row],[5-5]])*elite2_plat,0)</f>
        <v>800</v>
      </c>
      <c r="BM88" s="113">
        <f ca="1">ROUNDUP(IF(race="Gnome",1,(1-MIN(TblMili[[#This Row],[Smithies]]*smithy_bonus,smithy_bonus_cap) + tech_3_5*TblTech[[#This Row],[3-5]] + tech_5_3*TblTech[[#This Row],[5-3]] + tech_5_5*TblTech[[#This Row],[5-5]]))*elite2_ore,0)</f>
        <v>64</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0.75</v>
      </c>
      <c r="BS88" s="208">
        <f ca="1">TblMili[[#This Row],[WG''s]]</f>
        <v>0</v>
      </c>
      <c r="BT88" s="323">
        <f ca="1">IF(mystic_cap="none",TblMili[[#This Row],[Hill]]/mystic_bonus,MIN(mystic_cap,TblMili[[#This Row],[Hill]]/mystic_bonus))</f>
        <v>3.75</v>
      </c>
      <c r="BU88" s="323">
        <f ca="1">IF(druid_op_cap="none",TblMili[[#This Row],[Hill]]/druid_op_bonus,MIN(druid_op_cap,TblMili[[#This Row],[Hill]]/druid_op_bonus))</f>
        <v>3.75</v>
      </c>
      <c r="BV88" s="323">
        <f ca="1">IF(druid_dp_cap="none",TblMili[[#This Row],[Hill]]/druid_dp_bonus,MIN(druid_dp_cap,TblMili[[#This Row],[Hill]]/druid_dp_bonus))</f>
        <v>3.75</v>
      </c>
      <c r="BW88" s="323">
        <f ca="1">MIN(dryad_cap,TblMili[[#This Row],[Hill]]/dryad_bonus)</f>
        <v>3.75</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250</v>
      </c>
      <c r="CB88" s="124">
        <f ca="1">MIN(TblMili[[#This Row],[Unit 1]],TblMili[[#This Row],[Unit 4]])*2</f>
        <v>0</v>
      </c>
      <c r="CC88" s="323">
        <f ca="1">MIN(frost_mage_cap,TblMili[[#This Row],[Hill]]/frost_mage_bonus)</f>
        <v>3</v>
      </c>
      <c r="CD88" s="59">
        <f ca="1">MIN(ice_elem_cap,TblMili[[#This Row],[Raw (2)]]*ice_elem_bonus)</f>
        <v>5.8333333333333334E-2</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3.95</v>
      </c>
      <c r="CK8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8" s="113">
        <f ca="1">TblMili[[#This Row],[Mystic bonus]]*TblMili[[#This Row],[Unit 3]]+TblMili[[#This Row],[Druid bonus]]*TblMili[[#This Row],[Unit 4]]</f>
        <v>4836.25</v>
      </c>
      <c r="CM88" s="201">
        <f ca="1">MIN(6,TblMili[[#This Row],[Dryad]]+Races!$F$35)*1.8 +  IF(TblMili[[#This Row],[Dryad]]+Races!$F$35&gt;6,(TblMili[[#This Row],[Dryad]]+Races!$F$35-6)*0.2,0) - Races!$I$19</f>
        <v>3.7500000000000009</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5.4</v>
      </c>
      <c r="CT88" s="201">
        <f ca="1">1.8 * MIN(MAX(TblMili[[#This Row],[Ice Elemental]]+Races!$E$71,Races!$F$71),6)  +  0.45 * MIN(MIN(TblMili[[#This Row],[Ice Elemental]]+Races!$E$71,Races!$F$71),6)  +  0.2 * ( MAX(TblMili[[#This Row],[Ice Elemental]]+Races!$E$71-6,0) + MAX(Races!$F$71-6,0) )  -  Races!$I$71</f>
        <v>0.10500000000000043</v>
      </c>
      <c r="CU88" s="113">
        <f ca="1">TblMili[[#This Row],[Frost Mage bonus]]*TblMili[[#This Row],[Unit 3]]+TblMili[[#This Row],[Ice Elemental bonus]]*TblMili[[#This Row],[Unit 4]]</f>
        <v>738.00000000000023</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8" s="184"/>
      <c r="DA88" s="326">
        <f ca="1">(TblMili[[#This Row],[Wizards]]+2*TblMili[[#This Row],[Archmages]])/TblConstr[[#This Row],[Land]]</f>
        <v>5.8333333333333334E-2</v>
      </c>
      <c r="DB88" s="326">
        <f ca="1">TblMili[[#This Row],[Raw (2)]]*(1+race_wizard_strength+IF(TblMili[[#This Row],[Hour]]&gt;72,tech_magical_weaponry_wiz*TblTech[[#This Row],[3-5]],0))</f>
        <v>5.8333333333333334E-2</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3484</v>
      </c>
      <c r="C89" s="203">
        <f ca="1">TblPop[[#This Row],[Military%]]</f>
        <v>0.34969386730904345</v>
      </c>
      <c r="D89" s="184"/>
      <c r="E89" s="49">
        <f ca="1">OFFSET(TblMili[[#This Row],[Unit 1]],-1,0) + OFFSET(TblMili[[#This Row],[Train Unit 1]],-9,0) - TblMili[[#This Row],[Release Unit 1]]</f>
        <v>0</v>
      </c>
      <c r="F89" s="49">
        <f ca="1">OFFSET(TblMili[[#This Row],[Unit 2]],-1,0) + OFFSET(TblMili[[#This Row],[Train Unit 2]],-9,0)-TblMili[[#This Row],[Release Unit 2]]</f>
        <v>1081</v>
      </c>
      <c r="G89" s="49">
        <f ca="1">OFFSET(TblMili[[#This Row],[Unit 3]],-1,0) + OFFSET(TblMili[[#This Row],[Train Unit 3]],-12,0)-TblMili[[#This Row],[Release Unit 3]]</f>
        <v>125</v>
      </c>
      <c r="H89" s="49">
        <f ca="1">OFFSET(TblMili[[#This Row],[Unit 4]],-1,0) + OFFSET(TblMili[[#This Row],[Train Unit 4]],-12,0)-TblMili[[#This Row],[Release Unit 4]]</f>
        <v>600</v>
      </c>
      <c r="I89" s="49">
        <f ca="1">OFFSET(TblMili[[#This Row],[Spies]],-1,0) + OFFSET(TblMili[[#This Row],[Train Spies]],-12,0) - TblMili[[#This Row],[Release Spies]]</f>
        <v>35</v>
      </c>
      <c r="J89" s="49">
        <f ca="1">OFFSET(TblMili[[#This Row],[Wizards]],-1,0) + OFFSET(TblMili[[#This Row],[Train Wiz]],-12,0) - TblMili[[#This Row],[Release Wizards]]-TblMili[[#This Row],[Train Arch]]</f>
        <v>35</v>
      </c>
      <c r="K89" s="49">
        <f ca="1">OFFSET(TblMili[[#This Row],[Archmages]],-1,0) + OFFSET(TblMili[[#This Row],[Train Arch]],-12,0) - TblMili[[#This Row],[Release Arch]]</f>
        <v>0</v>
      </c>
      <c r="L89" s="184"/>
      <c r="M89" s="113">
        <f ca="1">TblProd[[#This Row],[Networth]]</f>
        <v>29507.5</v>
      </c>
      <c r="N89" s="184"/>
      <c r="O89" s="319">
        <f ca="1">TblMili[[#This Row],[Unit 1]]*spec_op+TblMili[[#This Row],[Unit 3]]*(elite1_base_op+dark_elf*TblMili[[#This Row],[Adept]])+TblMili[[#This Row],[Unit 4]]*(elite2_base_op+icekin*TblMili[[#This Row],[Ice Elemental]]+woodie*TblMili[[#This Row],[Druid (op)]]+orc*TblMili[[#This Row],[Orc]])+kobold*TblMili[[#This Row],[Overlords]]</f>
        <v>3850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3946.2499999999995</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9" s="319">
        <f ca="1">TblMili[[#This Row],[Non Draft]]+TblMili[[#This Row],[Draftees]]</f>
        <v>7401</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5793</v>
      </c>
      <c r="V89" s="319">
        <f ca="1">TblMili[[#This Row],[Draft]] * (1 + TblMili[[#This Row],[Mods_Def]])</f>
        <v>7401</v>
      </c>
      <c r="W89" s="319">
        <f ca="1">TblConstr[[#This Row],[Land]]</f>
        <v>600</v>
      </c>
      <c r="X89" s="322"/>
      <c r="Y89" s="327">
        <f ca="1">IF(TblMili[[#This Row],[Set]]&lt;&gt;"",TblMili[[#This Row],[Set]],OFFSET(TblMili[[#This Row],[Draftrate]],-1,0))</f>
        <v>0.9</v>
      </c>
      <c r="Z89" s="113">
        <f ca="1">OFFSET(TblMili[[#This Row],[Draftees]],-1,0)+OFFSET(TblPop[[#This Row],[Draft Growth]],-1,0) - SUM(TblMili[[#This Row],[Train Unit 1]:[Train Wiz]]) - TblMili[[#This Row],[Release Draft]] + SUM(TblMili[[#This Row],[Release Unit 1]:[Release Arch]]) -TblExplore[[#This Row],[Draftees (2)]]</f>
        <v>1608</v>
      </c>
      <c r="AA89" s="200"/>
      <c r="AB89" s="234">
        <f ca="1">(TblConstr[[#This Row],[Tot Smi]]+TblConstr[[#This Row],[Dest Smi]])/(TblConstr[[#This Row],[Land]]-TblExplore[[#This Row],[Land Bonus]]*20)</f>
        <v>0.18</v>
      </c>
      <c r="AC89" s="178"/>
      <c r="AD89" s="318">
        <f>TblMili[[#This Row],[Hour]]</f>
        <v>86</v>
      </c>
      <c r="AE89" s="179">
        <f ca="1">TblExplore[[#This Row],[Time]]</f>
        <v>44408.291666666461</v>
      </c>
      <c r="AF89" s="232"/>
      <c r="AG89" s="232"/>
      <c r="AH89" s="232"/>
      <c r="AI89" s="232"/>
      <c r="AJ89" s="232"/>
      <c r="AK89" s="232"/>
      <c r="AL89" s="232"/>
      <c r="AM89" s="184"/>
      <c r="AN89" s="113">
        <f ca="1">TblProd[[#This Row],[Platinum]]</f>
        <v>735946</v>
      </c>
      <c r="AO89" s="113">
        <f ca="1">INDEX(TblProd[[#Headers],[Lumber]]:TblProd[[#This Row],[Ore]],COUNTA(TblProd[[#Headers],[Lumber]]:TblProd[[#This Row],[Lumber]]),MATCH(Military!$AO$2,TblProd[[#Headers],[Lumber]:[Ore]],0))</f>
        <v>42590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44408.291666666461</v>
      </c>
      <c r="AT89" s="113">
        <f ca="1">TblMili[[#This Row],[Draftees]]</f>
        <v>1608</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176</v>
      </c>
      <c r="BG89" s="113">
        <f ca="1">ROUNDUP(IF(race="Gnome",1,(1-MIN(TblMili[[#This Row],[Smithies]]*smithy_bonus,smithy_bonus_cap) + tech_3_5*TblTech[[#This Row],[3-5]] + tech_5_3*TblTech[[#This Row],[5-3]] + tech_5_5*TblTech[[#This Row],[5-5]]))*spec_op_ore,0)</f>
        <v>16</v>
      </c>
      <c r="BH89" s="113">
        <f ca="1">ROUNDUP((1-MIN(TblMili[[#This Row],[Smithies]]*smithy_bonus,smithy_bonus_cap) + tech_3_5*TblTech[[#This Row],[3-5]] + tech_5_3*TblTech[[#This Row],[5-3]] + tech_5_5*TblTech[[#This Row],[5-5]])*spec_dp_plat,0)</f>
        <v>176</v>
      </c>
      <c r="BI89" s="113">
        <f ca="1">ROUNDUP(IF(race="Gnome",1,(1-MIN(TblMili[[#This Row],[Smithies]]*smithy_bonus,smithy_bonus_cap) + tech_3_5*TblTech[[#This Row],[3-5]] + tech_5_3*TblTech[[#This Row],[5-3]] + tech_5_5*TblTech[[#This Row],[5-5]]))*spec_dp_ore,0)</f>
        <v>10</v>
      </c>
      <c r="BJ89" s="113">
        <f ca="1">ROUNDUP((1-MIN(TblMili[[#This Row],[Smithies]]*smithy_bonus,smithy_bonus_cap) + tech_3_5*TblTech[[#This Row],[3-5]] + tech_5_3*TblTech[[#This Row],[5-3]] + tech_5_5*TblTech[[#This Row],[5-5]])*elite1_plat,0)</f>
        <v>656</v>
      </c>
      <c r="BK89" s="113">
        <f ca="1">ROUNDUP(IF(race="Gnome",1,(1-MIN(TblMili[[#This Row],[Smithies]]*smithy_bonus,smithy_bonus_cap) + tech_3_5*TblTech[[#This Row],[3-5]] + tech_5_3*TblTech[[#This Row],[5-3]] + tech_5_5*TblTech[[#This Row],[5-5]]))*elite1_ore,0)</f>
        <v>48</v>
      </c>
      <c r="BL89" s="113">
        <f ca="1">ROUNDUP((1-MIN(TblMili[[#This Row],[Smithies]]*smithy_bonus,smithy_bonus_cap) + tech_3_5*TblTech[[#This Row],[3-5]] + tech_5_3*TblTech[[#This Row],[5-3]] + tech_5_5*TblTech[[#This Row],[5-5]])*elite2_plat,0)</f>
        <v>800</v>
      </c>
      <c r="BM89" s="113">
        <f ca="1">ROUNDUP(IF(race="Gnome",1,(1-MIN(TblMili[[#This Row],[Smithies]]*smithy_bonus,smithy_bonus_cap) + tech_3_5*TblTech[[#This Row],[3-5]] + tech_5_3*TblTech[[#This Row],[5-3]] + tech_5_5*TblTech[[#This Row],[5-5]]))*elite2_ore,0)</f>
        <v>64</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0.75</v>
      </c>
      <c r="BS89" s="208">
        <f ca="1">TblMili[[#This Row],[WG''s]]</f>
        <v>0</v>
      </c>
      <c r="BT89" s="323">
        <f ca="1">IF(mystic_cap="none",TblMili[[#This Row],[Hill]]/mystic_bonus,MIN(mystic_cap,TblMili[[#This Row],[Hill]]/mystic_bonus))</f>
        <v>3.75</v>
      </c>
      <c r="BU89" s="323">
        <f ca="1">IF(druid_op_cap="none",TblMili[[#This Row],[Hill]]/druid_op_bonus,MIN(druid_op_cap,TblMili[[#This Row],[Hill]]/druid_op_bonus))</f>
        <v>3.75</v>
      </c>
      <c r="BV89" s="323">
        <f ca="1">IF(druid_dp_cap="none",TblMili[[#This Row],[Hill]]/druid_dp_bonus,MIN(druid_dp_cap,TblMili[[#This Row],[Hill]]/druid_dp_bonus))</f>
        <v>3.75</v>
      </c>
      <c r="BW89" s="323">
        <f ca="1">MIN(dryad_cap,TblMili[[#This Row],[Hill]]/dryad_bonus)</f>
        <v>3.75</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250</v>
      </c>
      <c r="CB89" s="124">
        <f ca="1">MIN(TblMili[[#This Row],[Unit 1]],TblMili[[#This Row],[Unit 4]])*2</f>
        <v>0</v>
      </c>
      <c r="CC89" s="323">
        <f ca="1">MIN(frost_mage_cap,TblMili[[#This Row],[Hill]]/frost_mage_bonus)</f>
        <v>3</v>
      </c>
      <c r="CD89" s="59">
        <f ca="1">MIN(ice_elem_cap,TblMili[[#This Row],[Raw (2)]]*ice_elem_bonus)</f>
        <v>5.8333333333333334E-2</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3.95</v>
      </c>
      <c r="CK8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9" s="113">
        <f ca="1">TblMili[[#This Row],[Mystic bonus]]*TblMili[[#This Row],[Unit 3]]+TblMili[[#This Row],[Druid bonus]]*TblMili[[#This Row],[Unit 4]]</f>
        <v>4836.25</v>
      </c>
      <c r="CM89" s="201">
        <f ca="1">MIN(6,TblMili[[#This Row],[Dryad]]+Races!$F$35)*1.8 +  IF(TblMili[[#This Row],[Dryad]]+Races!$F$35&gt;6,(TblMili[[#This Row],[Dryad]]+Races!$F$35-6)*0.2,0) - Races!$I$19</f>
        <v>3.7500000000000009</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5.4</v>
      </c>
      <c r="CT89" s="201">
        <f ca="1">1.8 * MIN(MAX(TblMili[[#This Row],[Ice Elemental]]+Races!$E$71,Races!$F$71),6)  +  0.45 * MIN(MIN(TblMili[[#This Row],[Ice Elemental]]+Races!$E$71,Races!$F$71),6)  +  0.2 * ( MAX(TblMili[[#This Row],[Ice Elemental]]+Races!$E$71-6,0) + MAX(Races!$F$71-6,0) )  -  Races!$I$71</f>
        <v>0.10500000000000043</v>
      </c>
      <c r="CU89" s="113">
        <f ca="1">TblMili[[#This Row],[Frost Mage bonus]]*TblMili[[#This Row],[Unit 3]]+TblMili[[#This Row],[Ice Elemental bonus]]*TblMili[[#This Row],[Unit 4]]</f>
        <v>738.00000000000023</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9" s="184"/>
      <c r="DA89" s="326">
        <f ca="1">(TblMili[[#This Row],[Wizards]]+2*TblMili[[#This Row],[Archmages]])/TblConstr[[#This Row],[Land]]</f>
        <v>5.8333333333333334E-2</v>
      </c>
      <c r="DB89" s="326">
        <f ca="1">TblMili[[#This Row],[Raw (2)]]*(1+race_wizard_strength+IF(TblMili[[#This Row],[Hour]]&gt;72,tech_magical_weaponry_wiz*TblTech[[#This Row],[3-5]],0))</f>
        <v>5.8333333333333334E-2</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3549</v>
      </c>
      <c r="C90" s="203">
        <f ca="1">TblPop[[#This Row],[Military%]]</f>
        <v>0.3562180066245107</v>
      </c>
      <c r="D90" s="184"/>
      <c r="E90" s="49">
        <f ca="1">OFFSET(TblMili[[#This Row],[Unit 1]],-1,0) + OFFSET(TblMili[[#This Row],[Train Unit 1]],-9,0) - TblMili[[#This Row],[Release Unit 1]]</f>
        <v>0</v>
      </c>
      <c r="F90" s="49">
        <f ca="1">OFFSET(TblMili[[#This Row],[Unit 2]],-1,0) + OFFSET(TblMili[[#This Row],[Train Unit 2]],-9,0)-TblMili[[#This Row],[Release Unit 2]]</f>
        <v>1081</v>
      </c>
      <c r="G90" s="49">
        <f ca="1">OFFSET(TblMili[[#This Row],[Unit 3]],-1,0) + OFFSET(TblMili[[#This Row],[Train Unit 3]],-12,0)-TblMili[[#This Row],[Release Unit 3]]</f>
        <v>125</v>
      </c>
      <c r="H90" s="49">
        <f ca="1">OFFSET(TblMili[[#This Row],[Unit 4]],-1,0) + OFFSET(TblMili[[#This Row],[Train Unit 4]],-12,0)-TblMili[[#This Row],[Release Unit 4]]</f>
        <v>600</v>
      </c>
      <c r="I90" s="49">
        <f ca="1">OFFSET(TblMili[[#This Row],[Spies]],-1,0) + OFFSET(TblMili[[#This Row],[Train Spies]],-12,0) - TblMili[[#This Row],[Release Spies]]</f>
        <v>35</v>
      </c>
      <c r="J90" s="49">
        <f ca="1">OFFSET(TblMili[[#This Row],[Wizards]],-1,0) + OFFSET(TblMili[[#This Row],[Train Wiz]],-12,0) - TblMili[[#This Row],[Release Wizards]]-TblMili[[#This Row],[Train Arch]]</f>
        <v>35</v>
      </c>
      <c r="K90" s="49">
        <f ca="1">OFFSET(TblMili[[#This Row],[Archmages]],-1,0) + OFFSET(TblMili[[#This Row],[Train Arch]],-12,0) - TblMili[[#This Row],[Release Arch]]</f>
        <v>0</v>
      </c>
      <c r="L90" s="184"/>
      <c r="M90" s="113">
        <f ca="1">TblProd[[#This Row],[Networth]]</f>
        <v>29507.5</v>
      </c>
      <c r="N90" s="184"/>
      <c r="O90" s="319">
        <f ca="1">TblMili[[#This Row],[Unit 1]]*spec_op+TblMili[[#This Row],[Unit 3]]*(elite1_base_op+dark_elf*TblMili[[#This Row],[Adept]])+TblMili[[#This Row],[Unit 4]]*(elite2_base_op+icekin*TblMili[[#This Row],[Ice Elemental]]+woodie*TblMili[[#This Row],[Druid (op)]]+orc*TblMili[[#This Row],[Orc]])+kobold*TblMili[[#This Row],[Overlords]]</f>
        <v>3850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3946.2499999999995</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0" s="319">
        <f ca="1">TblMili[[#This Row],[Non Draft]]+TblMili[[#This Row],[Draftees]]</f>
        <v>7466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5793</v>
      </c>
      <c r="V90" s="319">
        <f ca="1">TblMili[[#This Row],[Draft]] * (1 + TblMili[[#This Row],[Mods_Def]])</f>
        <v>7466</v>
      </c>
      <c r="W90" s="319">
        <f ca="1">TblConstr[[#This Row],[Land]]</f>
        <v>600</v>
      </c>
      <c r="X90" s="322"/>
      <c r="Y90" s="327">
        <f ca="1">IF(TblMili[[#This Row],[Set]]&lt;&gt;"",TblMili[[#This Row],[Set]],OFFSET(TblMili[[#This Row],[Draftrate]],-1,0))</f>
        <v>0.9</v>
      </c>
      <c r="Z90" s="113">
        <f ca="1">OFFSET(TblMili[[#This Row],[Draftees]],-1,0)+OFFSET(TblPop[[#This Row],[Draft Growth]],-1,0) - SUM(TblMili[[#This Row],[Train Unit 1]:[Train Wiz]]) - TblMili[[#This Row],[Release Draft]] + SUM(TblMili[[#This Row],[Release Unit 1]:[Release Arch]]) -TblExplore[[#This Row],[Draftees (2)]]</f>
        <v>1673</v>
      </c>
      <c r="AA90" s="200"/>
      <c r="AB90" s="234">
        <f ca="1">(TblConstr[[#This Row],[Tot Smi]]+TblConstr[[#This Row],[Dest Smi]])/(TblConstr[[#This Row],[Land]]-TblExplore[[#This Row],[Land Bonus]]*20)</f>
        <v>0.18</v>
      </c>
      <c r="AC90" s="178"/>
      <c r="AD90" s="318">
        <f>TblMili[[#This Row],[Hour]]</f>
        <v>87</v>
      </c>
      <c r="AE90" s="179">
        <f ca="1">TblExplore[[#This Row],[Time]]</f>
        <v>44408.333333333125</v>
      </c>
      <c r="AF90" s="232"/>
      <c r="AG90" s="232"/>
      <c r="AH90" s="232"/>
      <c r="AI90" s="232"/>
      <c r="AJ90" s="232"/>
      <c r="AK90" s="232"/>
      <c r="AL90" s="232"/>
      <c r="AM90" s="184"/>
      <c r="AN90" s="113">
        <f ca="1">TblProd[[#This Row],[Platinum]]</f>
        <v>765319</v>
      </c>
      <c r="AO90" s="113">
        <f ca="1">INDEX(TblProd[[#Headers],[Lumber]]:TblProd[[#This Row],[Ore]],COUNTA(TblProd[[#Headers],[Lumber]]:TblProd[[#This Row],[Lumber]]),MATCH(Military!$AO$2,TblProd[[#Headers],[Lumber]:[Ore]],0))</f>
        <v>44390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44408.333333333125</v>
      </c>
      <c r="AT90" s="113">
        <f ca="1">TblMili[[#This Row],[Draftees]]</f>
        <v>1673</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176</v>
      </c>
      <c r="BG90" s="113">
        <f ca="1">ROUNDUP(IF(race="Gnome",1,(1-MIN(TblMili[[#This Row],[Smithies]]*smithy_bonus,smithy_bonus_cap) + tech_3_5*TblTech[[#This Row],[3-5]] + tech_5_3*TblTech[[#This Row],[5-3]] + tech_5_5*TblTech[[#This Row],[5-5]]))*spec_op_ore,0)</f>
        <v>16</v>
      </c>
      <c r="BH90" s="113">
        <f ca="1">ROUNDUP((1-MIN(TblMili[[#This Row],[Smithies]]*smithy_bonus,smithy_bonus_cap) + tech_3_5*TblTech[[#This Row],[3-5]] + tech_5_3*TblTech[[#This Row],[5-3]] + tech_5_5*TblTech[[#This Row],[5-5]])*spec_dp_plat,0)</f>
        <v>176</v>
      </c>
      <c r="BI90" s="113">
        <f ca="1">ROUNDUP(IF(race="Gnome",1,(1-MIN(TblMili[[#This Row],[Smithies]]*smithy_bonus,smithy_bonus_cap) + tech_3_5*TblTech[[#This Row],[3-5]] + tech_5_3*TblTech[[#This Row],[5-3]] + tech_5_5*TblTech[[#This Row],[5-5]]))*spec_dp_ore,0)</f>
        <v>10</v>
      </c>
      <c r="BJ90" s="113">
        <f ca="1">ROUNDUP((1-MIN(TblMili[[#This Row],[Smithies]]*smithy_bonus,smithy_bonus_cap) + tech_3_5*TblTech[[#This Row],[3-5]] + tech_5_3*TblTech[[#This Row],[5-3]] + tech_5_5*TblTech[[#This Row],[5-5]])*elite1_plat,0)</f>
        <v>656</v>
      </c>
      <c r="BK90" s="113">
        <f ca="1">ROUNDUP(IF(race="Gnome",1,(1-MIN(TblMili[[#This Row],[Smithies]]*smithy_bonus,smithy_bonus_cap) + tech_3_5*TblTech[[#This Row],[3-5]] + tech_5_3*TblTech[[#This Row],[5-3]] + tech_5_5*TblTech[[#This Row],[5-5]]))*elite1_ore,0)</f>
        <v>48</v>
      </c>
      <c r="BL90" s="113">
        <f ca="1">ROUNDUP((1-MIN(TblMili[[#This Row],[Smithies]]*smithy_bonus,smithy_bonus_cap) + tech_3_5*TblTech[[#This Row],[3-5]] + tech_5_3*TblTech[[#This Row],[5-3]] + tech_5_5*TblTech[[#This Row],[5-5]])*elite2_plat,0)</f>
        <v>800</v>
      </c>
      <c r="BM90" s="113">
        <f ca="1">ROUNDUP(IF(race="Gnome",1,(1-MIN(TblMili[[#This Row],[Smithies]]*smithy_bonus,smithy_bonus_cap) + tech_3_5*TblTech[[#This Row],[3-5]] + tech_5_3*TblTech[[#This Row],[5-3]] + tech_5_5*TblTech[[#This Row],[5-5]]))*elite2_ore,0)</f>
        <v>64</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0.75</v>
      </c>
      <c r="BS90" s="208">
        <f ca="1">TblMili[[#This Row],[WG''s]]</f>
        <v>0</v>
      </c>
      <c r="BT90" s="323">
        <f ca="1">IF(mystic_cap="none",TblMili[[#This Row],[Hill]]/mystic_bonus,MIN(mystic_cap,TblMili[[#This Row],[Hill]]/mystic_bonus))</f>
        <v>3.75</v>
      </c>
      <c r="BU90" s="323">
        <f ca="1">IF(druid_op_cap="none",TblMili[[#This Row],[Hill]]/druid_op_bonus,MIN(druid_op_cap,TblMili[[#This Row],[Hill]]/druid_op_bonus))</f>
        <v>3.75</v>
      </c>
      <c r="BV90" s="323">
        <f ca="1">IF(druid_dp_cap="none",TblMili[[#This Row],[Hill]]/druid_dp_bonus,MIN(druid_dp_cap,TblMili[[#This Row],[Hill]]/druid_dp_bonus))</f>
        <v>3.75</v>
      </c>
      <c r="BW90" s="323">
        <f ca="1">MIN(dryad_cap,TblMili[[#This Row],[Hill]]/dryad_bonus)</f>
        <v>3.75</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250</v>
      </c>
      <c r="CB90" s="124">
        <f ca="1">MIN(TblMili[[#This Row],[Unit 1]],TblMili[[#This Row],[Unit 4]])*2</f>
        <v>0</v>
      </c>
      <c r="CC90" s="323">
        <f ca="1">MIN(frost_mage_cap,TblMili[[#This Row],[Hill]]/frost_mage_bonus)</f>
        <v>3</v>
      </c>
      <c r="CD90" s="59">
        <f ca="1">MIN(ice_elem_cap,TblMili[[#This Row],[Raw (2)]]*ice_elem_bonus)</f>
        <v>5.8333333333333334E-2</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3.95</v>
      </c>
      <c r="CK9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0" s="113">
        <f ca="1">TblMili[[#This Row],[Mystic bonus]]*TblMili[[#This Row],[Unit 3]]+TblMili[[#This Row],[Druid bonus]]*TblMili[[#This Row],[Unit 4]]</f>
        <v>4836.25</v>
      </c>
      <c r="CM90" s="201">
        <f ca="1">MIN(6,TblMili[[#This Row],[Dryad]]+Races!$F$35)*1.8 +  IF(TblMili[[#This Row],[Dryad]]+Races!$F$35&gt;6,(TblMili[[#This Row],[Dryad]]+Races!$F$35-6)*0.2,0) - Races!$I$19</f>
        <v>3.7500000000000009</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5.4</v>
      </c>
      <c r="CT90" s="201">
        <f ca="1">1.8 * MIN(MAX(TblMili[[#This Row],[Ice Elemental]]+Races!$E$71,Races!$F$71),6)  +  0.45 * MIN(MIN(TblMili[[#This Row],[Ice Elemental]]+Races!$E$71,Races!$F$71),6)  +  0.2 * ( MAX(TblMili[[#This Row],[Ice Elemental]]+Races!$E$71-6,0) + MAX(Races!$F$71-6,0) )  -  Races!$I$71</f>
        <v>0.10500000000000043</v>
      </c>
      <c r="CU90" s="113">
        <f ca="1">TblMili[[#This Row],[Frost Mage bonus]]*TblMili[[#This Row],[Unit 3]]+TblMili[[#This Row],[Ice Elemental bonus]]*TblMili[[#This Row],[Unit 4]]</f>
        <v>738.00000000000023</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0" s="184"/>
      <c r="DA90" s="326">
        <f ca="1">(TblMili[[#This Row],[Wizards]]+2*TblMili[[#This Row],[Archmages]])/TblConstr[[#This Row],[Land]]</f>
        <v>5.8333333333333334E-2</v>
      </c>
      <c r="DB90" s="326">
        <f ca="1">TblMili[[#This Row],[Raw (2)]]*(1+race_wizard_strength+IF(TblMili[[#This Row],[Hour]]&gt;72,tech_magical_weaponry_wiz*TblTech[[#This Row],[3-5]],0))</f>
        <v>5.8333333333333334E-2</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3613</v>
      </c>
      <c r="C91" s="203">
        <f ca="1">TblPop[[#This Row],[Military%]]</f>
        <v>0.3626417745658938</v>
      </c>
      <c r="D91" s="184"/>
      <c r="E91" s="49">
        <f ca="1">OFFSET(TblMili[[#This Row],[Unit 1]],-1,0) + OFFSET(TblMili[[#This Row],[Train Unit 1]],-9,0) - TblMili[[#This Row],[Release Unit 1]]</f>
        <v>0</v>
      </c>
      <c r="F91" s="49">
        <f ca="1">OFFSET(TblMili[[#This Row],[Unit 2]],-1,0) + OFFSET(TblMili[[#This Row],[Train Unit 2]],-9,0)-TblMili[[#This Row],[Release Unit 2]]</f>
        <v>1081</v>
      </c>
      <c r="G91" s="49">
        <f ca="1">OFFSET(TblMili[[#This Row],[Unit 3]],-1,0) + OFFSET(TblMili[[#This Row],[Train Unit 3]],-12,0)-TblMili[[#This Row],[Release Unit 3]]</f>
        <v>125</v>
      </c>
      <c r="H91" s="49">
        <f ca="1">OFFSET(TblMili[[#This Row],[Unit 4]],-1,0) + OFFSET(TblMili[[#This Row],[Train Unit 4]],-12,0)-TblMili[[#This Row],[Release Unit 4]]</f>
        <v>600</v>
      </c>
      <c r="I91" s="49">
        <f ca="1">OFFSET(TblMili[[#This Row],[Spies]],-1,0) + OFFSET(TblMili[[#This Row],[Train Spies]],-12,0) - TblMili[[#This Row],[Release Spies]]</f>
        <v>35</v>
      </c>
      <c r="J91" s="49">
        <f ca="1">OFFSET(TblMili[[#This Row],[Wizards]],-1,0) + OFFSET(TblMili[[#This Row],[Train Wiz]],-12,0) - TblMili[[#This Row],[Release Wizards]]-TblMili[[#This Row],[Train Arch]]</f>
        <v>35</v>
      </c>
      <c r="K91" s="49">
        <f ca="1">OFFSET(TblMili[[#This Row],[Archmages]],-1,0) + OFFSET(TblMili[[#This Row],[Train Arch]],-12,0) - TblMili[[#This Row],[Release Arch]]</f>
        <v>0</v>
      </c>
      <c r="L91" s="184"/>
      <c r="M91" s="113">
        <f ca="1">TblProd[[#This Row],[Networth]]</f>
        <v>29507.5</v>
      </c>
      <c r="N91" s="184"/>
      <c r="O91" s="319">
        <f ca="1">TblMili[[#This Row],[Unit 1]]*spec_op+TblMili[[#This Row],[Unit 3]]*(elite1_base_op+dark_elf*TblMili[[#This Row],[Adept]])+TblMili[[#This Row],[Unit 4]]*(elite2_base_op+icekin*TblMili[[#This Row],[Ice Elemental]]+woodie*TblMili[[#This Row],[Druid (op)]]+orc*TblMili[[#This Row],[Orc]])+kobold*TblMili[[#This Row],[Overlords]]</f>
        <v>3850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3946.2499999999995</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1" s="319">
        <f ca="1">TblMili[[#This Row],[Non Draft]]+TblMili[[#This Row],[Draftees]]</f>
        <v>7530</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5793</v>
      </c>
      <c r="V91" s="319">
        <f ca="1">TblMili[[#This Row],[Draft]] * (1 + TblMili[[#This Row],[Mods_Def]])</f>
        <v>7530</v>
      </c>
      <c r="W91" s="319">
        <f ca="1">TblConstr[[#This Row],[Land]]</f>
        <v>600</v>
      </c>
      <c r="X91" s="322"/>
      <c r="Y91" s="327">
        <f ca="1">IF(TblMili[[#This Row],[Set]]&lt;&gt;"",TblMili[[#This Row],[Set]],OFFSET(TblMili[[#This Row],[Draftrate]],-1,0))</f>
        <v>0.9</v>
      </c>
      <c r="Z91" s="113">
        <f ca="1">OFFSET(TblMili[[#This Row],[Draftees]],-1,0)+OFFSET(TblPop[[#This Row],[Draft Growth]],-1,0) - SUM(TblMili[[#This Row],[Train Unit 1]:[Train Wiz]]) - TblMili[[#This Row],[Release Draft]] + SUM(TblMili[[#This Row],[Release Unit 1]:[Release Arch]]) -TblExplore[[#This Row],[Draftees (2)]]</f>
        <v>1737</v>
      </c>
      <c r="AA91" s="200"/>
      <c r="AB91" s="234">
        <f ca="1">(TblConstr[[#This Row],[Tot Smi]]+TblConstr[[#This Row],[Dest Smi]])/(TblConstr[[#This Row],[Land]]-TblExplore[[#This Row],[Land Bonus]]*20)</f>
        <v>0.18</v>
      </c>
      <c r="AC91" s="178"/>
      <c r="AD91" s="318">
        <f>TblMili[[#This Row],[Hour]]</f>
        <v>88</v>
      </c>
      <c r="AE91" s="179">
        <f ca="1">TblExplore[[#This Row],[Time]]</f>
        <v>44408.374999999789</v>
      </c>
      <c r="AF91" s="232"/>
      <c r="AG91" s="232"/>
      <c r="AH91" s="232"/>
      <c r="AI91" s="232"/>
      <c r="AJ91" s="232"/>
      <c r="AK91" s="232"/>
      <c r="AL91" s="232"/>
      <c r="AM91" s="184"/>
      <c r="AN91" s="113">
        <f ca="1">TblProd[[#This Row],[Platinum]]</f>
        <v>794516</v>
      </c>
      <c r="AO91" s="113">
        <f ca="1">INDEX(TblProd[[#Headers],[Lumber]]:TblProd[[#This Row],[Ore]],COUNTA(TblProd[[#Headers],[Lumber]]:TblProd[[#This Row],[Lumber]]),MATCH(Military!$AO$2,TblProd[[#Headers],[Lumber]:[Ore]],0))</f>
        <v>46190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44408.374999999789</v>
      </c>
      <c r="AT91" s="113">
        <f ca="1">TblMili[[#This Row],[Draftees]]</f>
        <v>1737</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176</v>
      </c>
      <c r="BG91" s="113">
        <f ca="1">ROUNDUP(IF(race="Gnome",1,(1-MIN(TblMili[[#This Row],[Smithies]]*smithy_bonus,smithy_bonus_cap) + tech_3_5*TblTech[[#This Row],[3-5]] + tech_5_3*TblTech[[#This Row],[5-3]] + tech_5_5*TblTech[[#This Row],[5-5]]))*spec_op_ore,0)</f>
        <v>16</v>
      </c>
      <c r="BH91" s="113">
        <f ca="1">ROUNDUP((1-MIN(TblMili[[#This Row],[Smithies]]*smithy_bonus,smithy_bonus_cap) + tech_3_5*TblTech[[#This Row],[3-5]] + tech_5_3*TblTech[[#This Row],[5-3]] + tech_5_5*TblTech[[#This Row],[5-5]])*spec_dp_plat,0)</f>
        <v>176</v>
      </c>
      <c r="BI91" s="113">
        <f ca="1">ROUNDUP(IF(race="Gnome",1,(1-MIN(TblMili[[#This Row],[Smithies]]*smithy_bonus,smithy_bonus_cap) + tech_3_5*TblTech[[#This Row],[3-5]] + tech_5_3*TblTech[[#This Row],[5-3]] + tech_5_5*TblTech[[#This Row],[5-5]]))*spec_dp_ore,0)</f>
        <v>10</v>
      </c>
      <c r="BJ91" s="113">
        <f ca="1">ROUNDUP((1-MIN(TblMili[[#This Row],[Smithies]]*smithy_bonus,smithy_bonus_cap) + tech_3_5*TblTech[[#This Row],[3-5]] + tech_5_3*TblTech[[#This Row],[5-3]] + tech_5_5*TblTech[[#This Row],[5-5]])*elite1_plat,0)</f>
        <v>656</v>
      </c>
      <c r="BK91" s="113">
        <f ca="1">ROUNDUP(IF(race="Gnome",1,(1-MIN(TblMili[[#This Row],[Smithies]]*smithy_bonus,smithy_bonus_cap) + tech_3_5*TblTech[[#This Row],[3-5]] + tech_5_3*TblTech[[#This Row],[5-3]] + tech_5_5*TblTech[[#This Row],[5-5]]))*elite1_ore,0)</f>
        <v>48</v>
      </c>
      <c r="BL91" s="113">
        <f ca="1">ROUNDUP((1-MIN(TblMili[[#This Row],[Smithies]]*smithy_bonus,smithy_bonus_cap) + tech_3_5*TblTech[[#This Row],[3-5]] + tech_5_3*TblTech[[#This Row],[5-3]] + tech_5_5*TblTech[[#This Row],[5-5]])*elite2_plat,0)</f>
        <v>800</v>
      </c>
      <c r="BM91" s="113">
        <f ca="1">ROUNDUP(IF(race="Gnome",1,(1-MIN(TblMili[[#This Row],[Smithies]]*smithy_bonus,smithy_bonus_cap) + tech_3_5*TblTech[[#This Row],[3-5]] + tech_5_3*TblTech[[#This Row],[5-3]] + tech_5_5*TblTech[[#This Row],[5-5]]))*elite2_ore,0)</f>
        <v>64</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0.75</v>
      </c>
      <c r="BS91" s="208">
        <f ca="1">TblMili[[#This Row],[WG''s]]</f>
        <v>0</v>
      </c>
      <c r="BT91" s="323">
        <f ca="1">IF(mystic_cap="none",TblMili[[#This Row],[Hill]]/mystic_bonus,MIN(mystic_cap,TblMili[[#This Row],[Hill]]/mystic_bonus))</f>
        <v>3.75</v>
      </c>
      <c r="BU91" s="323">
        <f ca="1">IF(druid_op_cap="none",TblMili[[#This Row],[Hill]]/druid_op_bonus,MIN(druid_op_cap,TblMili[[#This Row],[Hill]]/druid_op_bonus))</f>
        <v>3.75</v>
      </c>
      <c r="BV91" s="323">
        <f ca="1">IF(druid_dp_cap="none",TblMili[[#This Row],[Hill]]/druid_dp_bonus,MIN(druid_dp_cap,TblMili[[#This Row],[Hill]]/druid_dp_bonus))</f>
        <v>3.75</v>
      </c>
      <c r="BW91" s="323">
        <f ca="1">MIN(dryad_cap,TblMili[[#This Row],[Hill]]/dryad_bonus)</f>
        <v>3.75</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250</v>
      </c>
      <c r="CB91" s="124">
        <f ca="1">MIN(TblMili[[#This Row],[Unit 1]],TblMili[[#This Row],[Unit 4]])*2</f>
        <v>0</v>
      </c>
      <c r="CC91" s="323">
        <f ca="1">MIN(frost_mage_cap,TblMili[[#This Row],[Hill]]/frost_mage_bonus)</f>
        <v>3</v>
      </c>
      <c r="CD91" s="59">
        <f ca="1">MIN(ice_elem_cap,TblMili[[#This Row],[Raw (2)]]*ice_elem_bonus)</f>
        <v>5.8333333333333334E-2</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3.95</v>
      </c>
      <c r="CK9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1" s="113">
        <f ca="1">TblMili[[#This Row],[Mystic bonus]]*TblMili[[#This Row],[Unit 3]]+TblMili[[#This Row],[Druid bonus]]*TblMili[[#This Row],[Unit 4]]</f>
        <v>4836.25</v>
      </c>
      <c r="CM91" s="201">
        <f ca="1">MIN(6,TblMili[[#This Row],[Dryad]]+Races!$F$35)*1.8 +  IF(TblMili[[#This Row],[Dryad]]+Races!$F$35&gt;6,(TblMili[[#This Row],[Dryad]]+Races!$F$35-6)*0.2,0) - Races!$I$19</f>
        <v>3.7500000000000009</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5.4</v>
      </c>
      <c r="CT91" s="201">
        <f ca="1">1.8 * MIN(MAX(TblMili[[#This Row],[Ice Elemental]]+Races!$E$71,Races!$F$71),6)  +  0.45 * MIN(MIN(TblMili[[#This Row],[Ice Elemental]]+Races!$E$71,Races!$F$71),6)  +  0.2 * ( MAX(TblMili[[#This Row],[Ice Elemental]]+Races!$E$71-6,0) + MAX(Races!$F$71-6,0) )  -  Races!$I$71</f>
        <v>0.10500000000000043</v>
      </c>
      <c r="CU91" s="113">
        <f ca="1">TblMili[[#This Row],[Frost Mage bonus]]*TblMili[[#This Row],[Unit 3]]+TblMili[[#This Row],[Ice Elemental bonus]]*TblMili[[#This Row],[Unit 4]]</f>
        <v>738.00000000000023</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1" s="184"/>
      <c r="DA91" s="326">
        <f ca="1">(TblMili[[#This Row],[Wizards]]+2*TblMili[[#This Row],[Archmages]])/TblConstr[[#This Row],[Land]]</f>
        <v>5.8333333333333334E-2</v>
      </c>
      <c r="DB91" s="326">
        <f ca="1">TblMili[[#This Row],[Raw (2)]]*(1+race_wizard_strength+IF(TblMili[[#This Row],[Hour]]&gt;72,tech_magical_weaponry_wiz*TblTech[[#This Row],[3-5]],0))</f>
        <v>5.8333333333333334E-2</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3677</v>
      </c>
      <c r="C92" s="203">
        <f ca="1">TblPop[[#This Row],[Military%]]</f>
        <v>0.36906554250727691</v>
      </c>
      <c r="D92" s="184"/>
      <c r="E92" s="49">
        <f ca="1">OFFSET(TblMili[[#This Row],[Unit 1]],-1,0) + OFFSET(TblMili[[#This Row],[Train Unit 1]],-9,0) - TblMili[[#This Row],[Release Unit 1]]</f>
        <v>0</v>
      </c>
      <c r="F92" s="49">
        <f ca="1">OFFSET(TblMili[[#This Row],[Unit 2]],-1,0) + OFFSET(TblMili[[#This Row],[Train Unit 2]],-9,0)-TblMili[[#This Row],[Release Unit 2]]</f>
        <v>1081</v>
      </c>
      <c r="G92" s="49">
        <f ca="1">OFFSET(TblMili[[#This Row],[Unit 3]],-1,0) + OFFSET(TblMili[[#This Row],[Train Unit 3]],-12,0)-TblMili[[#This Row],[Release Unit 3]]</f>
        <v>125</v>
      </c>
      <c r="H92" s="49">
        <f ca="1">OFFSET(TblMili[[#This Row],[Unit 4]],-1,0) + OFFSET(TblMili[[#This Row],[Train Unit 4]],-12,0)-TblMili[[#This Row],[Release Unit 4]]</f>
        <v>600</v>
      </c>
      <c r="I92" s="49">
        <f ca="1">OFFSET(TblMili[[#This Row],[Spies]],-1,0) + OFFSET(TblMili[[#This Row],[Train Spies]],-12,0) - TblMili[[#This Row],[Release Spies]]</f>
        <v>35</v>
      </c>
      <c r="J92" s="49">
        <f ca="1">OFFSET(TblMili[[#This Row],[Wizards]],-1,0) + OFFSET(TblMili[[#This Row],[Train Wiz]],-12,0) - TblMili[[#This Row],[Release Wizards]]-TblMili[[#This Row],[Train Arch]]</f>
        <v>35</v>
      </c>
      <c r="K92" s="49">
        <f ca="1">OFFSET(TblMili[[#This Row],[Archmages]],-1,0) + OFFSET(TblMili[[#This Row],[Train Arch]],-12,0) - TblMili[[#This Row],[Release Arch]]</f>
        <v>0</v>
      </c>
      <c r="L92" s="184"/>
      <c r="M92" s="113">
        <f ca="1">TblProd[[#This Row],[Networth]]</f>
        <v>29507.5</v>
      </c>
      <c r="N92" s="184"/>
      <c r="O92" s="319">
        <f ca="1">TblMili[[#This Row],[Unit 1]]*spec_op+TblMili[[#This Row],[Unit 3]]*(elite1_base_op+dark_elf*TblMili[[#This Row],[Adept]])+TblMili[[#This Row],[Unit 4]]*(elite2_base_op+icekin*TblMili[[#This Row],[Ice Elemental]]+woodie*TblMili[[#This Row],[Druid (op)]]+orc*TblMili[[#This Row],[Orc]])+kobold*TblMili[[#This Row],[Overlords]]</f>
        <v>3850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3946.2499999999995</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2" s="319">
        <f ca="1">TblMili[[#This Row],[Non Draft]]+TblMili[[#This Row],[Draftees]]</f>
        <v>7594</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5793</v>
      </c>
      <c r="V92" s="319">
        <f ca="1">TblMili[[#This Row],[Draft]] * (1 + TblMili[[#This Row],[Mods_Def]])</f>
        <v>7594</v>
      </c>
      <c r="W92" s="319">
        <f ca="1">TblConstr[[#This Row],[Land]]</f>
        <v>600</v>
      </c>
      <c r="X92" s="322"/>
      <c r="Y92" s="327">
        <f ca="1">IF(TblMili[[#This Row],[Set]]&lt;&gt;"",TblMili[[#This Row],[Set]],OFFSET(TblMili[[#This Row],[Draftrate]],-1,0))</f>
        <v>0.9</v>
      </c>
      <c r="Z92" s="113">
        <f ca="1">OFFSET(TblMili[[#This Row],[Draftees]],-1,0)+OFFSET(TblPop[[#This Row],[Draft Growth]],-1,0) - SUM(TblMili[[#This Row],[Train Unit 1]:[Train Wiz]]) - TblMili[[#This Row],[Release Draft]] + SUM(TblMili[[#This Row],[Release Unit 1]:[Release Arch]]) -TblExplore[[#This Row],[Draftees (2)]]</f>
        <v>1801</v>
      </c>
      <c r="AA92" s="200"/>
      <c r="AB92" s="234">
        <f ca="1">(TblConstr[[#This Row],[Tot Smi]]+TblConstr[[#This Row],[Dest Smi]])/(TblConstr[[#This Row],[Land]]-TblExplore[[#This Row],[Land Bonus]]*20)</f>
        <v>0.18</v>
      </c>
      <c r="AC92" s="178"/>
      <c r="AD92" s="318">
        <f>TblMili[[#This Row],[Hour]]</f>
        <v>89</v>
      </c>
      <c r="AE92" s="179">
        <f ca="1">TblExplore[[#This Row],[Time]]</f>
        <v>44408.416666666453</v>
      </c>
      <c r="AF92" s="232"/>
      <c r="AG92" s="232"/>
      <c r="AH92" s="232"/>
      <c r="AI92" s="232"/>
      <c r="AJ92" s="232"/>
      <c r="AK92" s="232"/>
      <c r="AL92" s="232"/>
      <c r="AM92" s="184"/>
      <c r="AN92" s="113">
        <f ca="1">TblProd[[#This Row],[Platinum]]</f>
        <v>823541</v>
      </c>
      <c r="AO92" s="113">
        <f ca="1">INDEX(TblProd[[#Headers],[Lumber]]:TblProd[[#This Row],[Ore]],COUNTA(TblProd[[#Headers],[Lumber]]:TblProd[[#This Row],[Lumber]]),MATCH(Military!$AO$2,TblProd[[#Headers],[Lumber]:[Ore]],0))</f>
        <v>47990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44408.416666666453</v>
      </c>
      <c r="AT92" s="113">
        <f ca="1">TblMili[[#This Row],[Draftees]]</f>
        <v>1801</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176</v>
      </c>
      <c r="BG92" s="113">
        <f ca="1">ROUNDUP(IF(race="Gnome",1,(1-MIN(TblMili[[#This Row],[Smithies]]*smithy_bonus,smithy_bonus_cap) + tech_3_5*TblTech[[#This Row],[3-5]] + tech_5_3*TblTech[[#This Row],[5-3]] + tech_5_5*TblTech[[#This Row],[5-5]]))*spec_op_ore,0)</f>
        <v>16</v>
      </c>
      <c r="BH92" s="113">
        <f ca="1">ROUNDUP((1-MIN(TblMili[[#This Row],[Smithies]]*smithy_bonus,smithy_bonus_cap) + tech_3_5*TblTech[[#This Row],[3-5]] + tech_5_3*TblTech[[#This Row],[5-3]] + tech_5_5*TblTech[[#This Row],[5-5]])*spec_dp_plat,0)</f>
        <v>176</v>
      </c>
      <c r="BI92" s="113">
        <f ca="1">ROUNDUP(IF(race="Gnome",1,(1-MIN(TblMili[[#This Row],[Smithies]]*smithy_bonus,smithy_bonus_cap) + tech_3_5*TblTech[[#This Row],[3-5]] + tech_5_3*TblTech[[#This Row],[5-3]] + tech_5_5*TblTech[[#This Row],[5-5]]))*spec_dp_ore,0)</f>
        <v>10</v>
      </c>
      <c r="BJ92" s="113">
        <f ca="1">ROUNDUP((1-MIN(TblMili[[#This Row],[Smithies]]*smithy_bonus,smithy_bonus_cap) + tech_3_5*TblTech[[#This Row],[3-5]] + tech_5_3*TblTech[[#This Row],[5-3]] + tech_5_5*TblTech[[#This Row],[5-5]])*elite1_plat,0)</f>
        <v>656</v>
      </c>
      <c r="BK92" s="113">
        <f ca="1">ROUNDUP(IF(race="Gnome",1,(1-MIN(TblMili[[#This Row],[Smithies]]*smithy_bonus,smithy_bonus_cap) + tech_3_5*TblTech[[#This Row],[3-5]] + tech_5_3*TblTech[[#This Row],[5-3]] + tech_5_5*TblTech[[#This Row],[5-5]]))*elite1_ore,0)</f>
        <v>48</v>
      </c>
      <c r="BL92" s="113">
        <f ca="1">ROUNDUP((1-MIN(TblMili[[#This Row],[Smithies]]*smithy_bonus,smithy_bonus_cap) + tech_3_5*TblTech[[#This Row],[3-5]] + tech_5_3*TblTech[[#This Row],[5-3]] + tech_5_5*TblTech[[#This Row],[5-5]])*elite2_plat,0)</f>
        <v>800</v>
      </c>
      <c r="BM92" s="113">
        <f ca="1">ROUNDUP(IF(race="Gnome",1,(1-MIN(TblMili[[#This Row],[Smithies]]*smithy_bonus,smithy_bonus_cap) + tech_3_5*TblTech[[#This Row],[3-5]] + tech_5_3*TblTech[[#This Row],[5-3]] + tech_5_5*TblTech[[#This Row],[5-5]]))*elite2_ore,0)</f>
        <v>64</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0.75</v>
      </c>
      <c r="BS92" s="208">
        <f ca="1">TblMili[[#This Row],[WG''s]]</f>
        <v>0</v>
      </c>
      <c r="BT92" s="323">
        <f ca="1">IF(mystic_cap="none",TblMili[[#This Row],[Hill]]/mystic_bonus,MIN(mystic_cap,TblMili[[#This Row],[Hill]]/mystic_bonus))</f>
        <v>3.75</v>
      </c>
      <c r="BU92" s="323">
        <f ca="1">IF(druid_op_cap="none",TblMili[[#This Row],[Hill]]/druid_op_bonus,MIN(druid_op_cap,TblMili[[#This Row],[Hill]]/druid_op_bonus))</f>
        <v>3.75</v>
      </c>
      <c r="BV92" s="323">
        <f ca="1">IF(druid_dp_cap="none",TblMili[[#This Row],[Hill]]/druid_dp_bonus,MIN(druid_dp_cap,TblMili[[#This Row],[Hill]]/druid_dp_bonus))</f>
        <v>3.75</v>
      </c>
      <c r="BW92" s="323">
        <f ca="1">MIN(dryad_cap,TblMili[[#This Row],[Hill]]/dryad_bonus)</f>
        <v>3.75</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250</v>
      </c>
      <c r="CB92" s="124">
        <f ca="1">MIN(TblMili[[#This Row],[Unit 1]],TblMili[[#This Row],[Unit 4]])*2</f>
        <v>0</v>
      </c>
      <c r="CC92" s="323">
        <f ca="1">MIN(frost_mage_cap,TblMili[[#This Row],[Hill]]/frost_mage_bonus)</f>
        <v>3</v>
      </c>
      <c r="CD92" s="59">
        <f ca="1">MIN(ice_elem_cap,TblMili[[#This Row],[Raw (2)]]*ice_elem_bonus)</f>
        <v>5.8333333333333334E-2</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3.95</v>
      </c>
      <c r="CK9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2" s="113">
        <f ca="1">TblMili[[#This Row],[Mystic bonus]]*TblMili[[#This Row],[Unit 3]]+TblMili[[#This Row],[Druid bonus]]*TblMili[[#This Row],[Unit 4]]</f>
        <v>4836.25</v>
      </c>
      <c r="CM92" s="201">
        <f ca="1">MIN(6,TblMili[[#This Row],[Dryad]]+Races!$F$35)*1.8 +  IF(TblMili[[#This Row],[Dryad]]+Races!$F$35&gt;6,(TblMili[[#This Row],[Dryad]]+Races!$F$35-6)*0.2,0) - Races!$I$19</f>
        <v>3.7500000000000009</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5.4</v>
      </c>
      <c r="CT92" s="201">
        <f ca="1">1.8 * MIN(MAX(TblMili[[#This Row],[Ice Elemental]]+Races!$E$71,Races!$F$71),6)  +  0.45 * MIN(MIN(TblMili[[#This Row],[Ice Elemental]]+Races!$E$71,Races!$F$71),6)  +  0.2 * ( MAX(TblMili[[#This Row],[Ice Elemental]]+Races!$E$71-6,0) + MAX(Races!$F$71-6,0) )  -  Races!$I$71</f>
        <v>0.10500000000000043</v>
      </c>
      <c r="CU92" s="113">
        <f ca="1">TblMili[[#This Row],[Frost Mage bonus]]*TblMili[[#This Row],[Unit 3]]+TblMili[[#This Row],[Ice Elemental bonus]]*TblMili[[#This Row],[Unit 4]]</f>
        <v>738.00000000000023</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2" s="184"/>
      <c r="DA92" s="326">
        <f ca="1">(TblMili[[#This Row],[Wizards]]+2*TblMili[[#This Row],[Archmages]])/TblConstr[[#This Row],[Land]]</f>
        <v>5.8333333333333334E-2</v>
      </c>
      <c r="DB92" s="326">
        <f ca="1">TblMili[[#This Row],[Raw (2)]]*(1+race_wizard_strength+IF(TblMili[[#This Row],[Hour]]&gt;72,tech_magical_weaponry_wiz*TblTech[[#This Row],[3-5]],0))</f>
        <v>5.8333333333333334E-2</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3740</v>
      </c>
      <c r="C93" s="203">
        <f ca="1">TblPop[[#This Row],[Military%]]</f>
        <v>0.37538893907457593</v>
      </c>
      <c r="D93" s="184"/>
      <c r="E93" s="49">
        <f ca="1">OFFSET(TblMili[[#This Row],[Unit 1]],-1,0) + OFFSET(TblMili[[#This Row],[Train Unit 1]],-9,0) - TblMili[[#This Row],[Release Unit 1]]</f>
        <v>0</v>
      </c>
      <c r="F93" s="49">
        <f ca="1">OFFSET(TblMili[[#This Row],[Unit 2]],-1,0) + OFFSET(TblMili[[#This Row],[Train Unit 2]],-9,0)-TblMili[[#This Row],[Release Unit 2]]</f>
        <v>1081</v>
      </c>
      <c r="G93" s="49">
        <f ca="1">OFFSET(TblMili[[#This Row],[Unit 3]],-1,0) + OFFSET(TblMili[[#This Row],[Train Unit 3]],-12,0)-TblMili[[#This Row],[Release Unit 3]]</f>
        <v>125</v>
      </c>
      <c r="H93" s="49">
        <f ca="1">OFFSET(TblMili[[#This Row],[Unit 4]],-1,0) + OFFSET(TblMili[[#This Row],[Train Unit 4]],-12,0)-TblMili[[#This Row],[Release Unit 4]]</f>
        <v>600</v>
      </c>
      <c r="I93" s="49">
        <f ca="1">OFFSET(TblMili[[#This Row],[Spies]],-1,0) + OFFSET(TblMili[[#This Row],[Train Spies]],-12,0) - TblMili[[#This Row],[Release Spies]]</f>
        <v>35</v>
      </c>
      <c r="J93" s="49">
        <f ca="1">OFFSET(TblMili[[#This Row],[Wizards]],-1,0) + OFFSET(TblMili[[#This Row],[Train Wiz]],-12,0) - TblMili[[#This Row],[Release Wizards]]-TblMili[[#This Row],[Train Arch]]</f>
        <v>35</v>
      </c>
      <c r="K93" s="49">
        <f ca="1">OFFSET(TblMili[[#This Row],[Archmages]],-1,0) + OFFSET(TblMili[[#This Row],[Train Arch]],-12,0) - TblMili[[#This Row],[Release Arch]]</f>
        <v>0</v>
      </c>
      <c r="L93" s="184"/>
      <c r="M93" s="113">
        <f ca="1">TblProd[[#This Row],[Networth]]</f>
        <v>29507.5</v>
      </c>
      <c r="N93" s="184"/>
      <c r="O93" s="319">
        <f ca="1">TblMili[[#This Row],[Unit 1]]*spec_op+TblMili[[#This Row],[Unit 3]]*(elite1_base_op+dark_elf*TblMili[[#This Row],[Adept]])+TblMili[[#This Row],[Unit 4]]*(elite2_base_op+icekin*TblMili[[#This Row],[Ice Elemental]]+woodie*TblMili[[#This Row],[Druid (op)]]+orc*TblMili[[#This Row],[Orc]])+kobold*TblMili[[#This Row],[Overlords]]</f>
        <v>3850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3946.2499999999995</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3" s="319">
        <f ca="1">TblMili[[#This Row],[Non Draft]]+TblMili[[#This Row],[Draftees]]</f>
        <v>7657</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5793</v>
      </c>
      <c r="V93" s="319">
        <f ca="1">TblMili[[#This Row],[Draft]] * (1 + TblMili[[#This Row],[Mods_Def]])</f>
        <v>7657</v>
      </c>
      <c r="W93" s="319">
        <f ca="1">TblConstr[[#This Row],[Land]]</f>
        <v>600</v>
      </c>
      <c r="X93" s="322"/>
      <c r="Y93" s="327">
        <f ca="1">IF(TblMili[[#This Row],[Set]]&lt;&gt;"",TblMili[[#This Row],[Set]],OFFSET(TblMili[[#This Row],[Draftrate]],-1,0))</f>
        <v>0.9</v>
      </c>
      <c r="Z93" s="113">
        <f ca="1">OFFSET(TblMili[[#This Row],[Draftees]],-1,0)+OFFSET(TblPop[[#This Row],[Draft Growth]],-1,0) - SUM(TblMili[[#This Row],[Train Unit 1]:[Train Wiz]]) - TblMili[[#This Row],[Release Draft]] + SUM(TblMili[[#This Row],[Release Unit 1]:[Release Arch]]) -TblExplore[[#This Row],[Draftees (2)]]</f>
        <v>1864</v>
      </c>
      <c r="AA93" s="200"/>
      <c r="AB93" s="234">
        <f ca="1">(TblConstr[[#This Row],[Tot Smi]]+TblConstr[[#This Row],[Dest Smi]])/(TblConstr[[#This Row],[Land]]-TblExplore[[#This Row],[Land Bonus]]*20)</f>
        <v>0.18</v>
      </c>
      <c r="AC93" s="178"/>
      <c r="AD93" s="318">
        <f>TblMili[[#This Row],[Hour]]</f>
        <v>90</v>
      </c>
      <c r="AE93" s="179">
        <f ca="1">TblExplore[[#This Row],[Time]]</f>
        <v>44408.458333333117</v>
      </c>
      <c r="AF93" s="232"/>
      <c r="AG93" s="232"/>
      <c r="AH93" s="232"/>
      <c r="AI93" s="232"/>
      <c r="AJ93" s="232"/>
      <c r="AK93" s="232"/>
      <c r="AL93" s="232"/>
      <c r="AM93" s="184"/>
      <c r="AN93" s="113">
        <f ca="1">TblProd[[#This Row],[Platinum]]</f>
        <v>852393</v>
      </c>
      <c r="AO93" s="113">
        <f ca="1">INDEX(TblProd[[#Headers],[Lumber]]:TblProd[[#This Row],[Ore]],COUNTA(TblProd[[#Headers],[Lumber]]:TblProd[[#This Row],[Lumber]]),MATCH(Military!$AO$2,TblProd[[#Headers],[Lumber]:[Ore]],0))</f>
        <v>49790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44408.458333333117</v>
      </c>
      <c r="AT93" s="113">
        <f ca="1">TblMili[[#This Row],[Draftees]]</f>
        <v>1864</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176</v>
      </c>
      <c r="BG93" s="113">
        <f ca="1">ROUNDUP(IF(race="Gnome",1,(1-MIN(TblMili[[#This Row],[Smithies]]*smithy_bonus,smithy_bonus_cap) + tech_3_5*TblTech[[#This Row],[3-5]] + tech_5_3*TblTech[[#This Row],[5-3]] + tech_5_5*TblTech[[#This Row],[5-5]]))*spec_op_ore,0)</f>
        <v>16</v>
      </c>
      <c r="BH93" s="113">
        <f ca="1">ROUNDUP((1-MIN(TblMili[[#This Row],[Smithies]]*smithy_bonus,smithy_bonus_cap) + tech_3_5*TblTech[[#This Row],[3-5]] + tech_5_3*TblTech[[#This Row],[5-3]] + tech_5_5*TblTech[[#This Row],[5-5]])*spec_dp_plat,0)</f>
        <v>176</v>
      </c>
      <c r="BI93" s="113">
        <f ca="1">ROUNDUP(IF(race="Gnome",1,(1-MIN(TblMili[[#This Row],[Smithies]]*smithy_bonus,smithy_bonus_cap) + tech_3_5*TblTech[[#This Row],[3-5]] + tech_5_3*TblTech[[#This Row],[5-3]] + tech_5_5*TblTech[[#This Row],[5-5]]))*spec_dp_ore,0)</f>
        <v>10</v>
      </c>
      <c r="BJ93" s="113">
        <f ca="1">ROUNDUP((1-MIN(TblMili[[#This Row],[Smithies]]*smithy_bonus,smithy_bonus_cap) + tech_3_5*TblTech[[#This Row],[3-5]] + tech_5_3*TblTech[[#This Row],[5-3]] + tech_5_5*TblTech[[#This Row],[5-5]])*elite1_plat,0)</f>
        <v>656</v>
      </c>
      <c r="BK93" s="113">
        <f ca="1">ROUNDUP(IF(race="Gnome",1,(1-MIN(TblMili[[#This Row],[Smithies]]*smithy_bonus,smithy_bonus_cap) + tech_3_5*TblTech[[#This Row],[3-5]] + tech_5_3*TblTech[[#This Row],[5-3]] + tech_5_5*TblTech[[#This Row],[5-5]]))*elite1_ore,0)</f>
        <v>48</v>
      </c>
      <c r="BL93" s="113">
        <f ca="1">ROUNDUP((1-MIN(TblMili[[#This Row],[Smithies]]*smithy_bonus,smithy_bonus_cap) + tech_3_5*TblTech[[#This Row],[3-5]] + tech_5_3*TblTech[[#This Row],[5-3]] + tech_5_5*TblTech[[#This Row],[5-5]])*elite2_plat,0)</f>
        <v>800</v>
      </c>
      <c r="BM93" s="113">
        <f ca="1">ROUNDUP(IF(race="Gnome",1,(1-MIN(TblMili[[#This Row],[Smithies]]*smithy_bonus,smithy_bonus_cap) + tech_3_5*TblTech[[#This Row],[3-5]] + tech_5_3*TblTech[[#This Row],[5-3]] + tech_5_5*TblTech[[#This Row],[5-5]]))*elite2_ore,0)</f>
        <v>64</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0.75</v>
      </c>
      <c r="BS93" s="208">
        <f ca="1">TblMili[[#This Row],[WG''s]]</f>
        <v>0</v>
      </c>
      <c r="BT93" s="323">
        <f ca="1">IF(mystic_cap="none",TblMili[[#This Row],[Hill]]/mystic_bonus,MIN(mystic_cap,TblMili[[#This Row],[Hill]]/mystic_bonus))</f>
        <v>3.75</v>
      </c>
      <c r="BU93" s="323">
        <f ca="1">IF(druid_op_cap="none",TblMili[[#This Row],[Hill]]/druid_op_bonus,MIN(druid_op_cap,TblMili[[#This Row],[Hill]]/druid_op_bonus))</f>
        <v>3.75</v>
      </c>
      <c r="BV93" s="323">
        <f ca="1">IF(druid_dp_cap="none",TblMili[[#This Row],[Hill]]/druid_dp_bonus,MIN(druid_dp_cap,TblMili[[#This Row],[Hill]]/druid_dp_bonus))</f>
        <v>3.75</v>
      </c>
      <c r="BW93" s="323">
        <f ca="1">MIN(dryad_cap,TblMili[[#This Row],[Hill]]/dryad_bonus)</f>
        <v>3.75</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250</v>
      </c>
      <c r="CB93" s="124">
        <f ca="1">MIN(TblMili[[#This Row],[Unit 1]],TblMili[[#This Row],[Unit 4]])*2</f>
        <v>0</v>
      </c>
      <c r="CC93" s="323">
        <f ca="1">MIN(frost_mage_cap,TblMili[[#This Row],[Hill]]/frost_mage_bonus)</f>
        <v>3</v>
      </c>
      <c r="CD93" s="59">
        <f ca="1">MIN(ice_elem_cap,TblMili[[#This Row],[Raw (2)]]*ice_elem_bonus)</f>
        <v>5.8333333333333334E-2</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3.95</v>
      </c>
      <c r="CK9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3" s="113">
        <f ca="1">TblMili[[#This Row],[Mystic bonus]]*TblMili[[#This Row],[Unit 3]]+TblMili[[#This Row],[Druid bonus]]*TblMili[[#This Row],[Unit 4]]</f>
        <v>4836.25</v>
      </c>
      <c r="CM93" s="201">
        <f ca="1">MIN(6,TblMili[[#This Row],[Dryad]]+Races!$F$35)*1.8 +  IF(TblMili[[#This Row],[Dryad]]+Races!$F$35&gt;6,(TblMili[[#This Row],[Dryad]]+Races!$F$35-6)*0.2,0) - Races!$I$19</f>
        <v>3.7500000000000009</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5.4</v>
      </c>
      <c r="CT93" s="201">
        <f ca="1">1.8 * MIN(MAX(TblMili[[#This Row],[Ice Elemental]]+Races!$E$71,Races!$F$71),6)  +  0.45 * MIN(MIN(TblMili[[#This Row],[Ice Elemental]]+Races!$E$71,Races!$F$71),6)  +  0.2 * ( MAX(TblMili[[#This Row],[Ice Elemental]]+Races!$E$71-6,0) + MAX(Races!$F$71-6,0) )  -  Races!$I$71</f>
        <v>0.10500000000000043</v>
      </c>
      <c r="CU93" s="113">
        <f ca="1">TblMili[[#This Row],[Frost Mage bonus]]*TblMili[[#This Row],[Unit 3]]+TblMili[[#This Row],[Ice Elemental bonus]]*TblMili[[#This Row],[Unit 4]]</f>
        <v>738.00000000000023</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3" s="184"/>
      <c r="DA93" s="326">
        <f ca="1">(TblMili[[#This Row],[Wizards]]+2*TblMili[[#This Row],[Archmages]])/TblConstr[[#This Row],[Land]]</f>
        <v>5.8333333333333334E-2</v>
      </c>
      <c r="DB93" s="326">
        <f ca="1">TblMili[[#This Row],[Raw (2)]]*(1+race_wizard_strength+IF(TblMili[[#This Row],[Hour]]&gt;72,tech_magical_weaponry_wiz*TblTech[[#This Row],[3-5]],0))</f>
        <v>5.8333333333333334E-2</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3802</v>
      </c>
      <c r="C94" s="203">
        <f ca="1">TblPop[[#This Row],[Military%]]</f>
        <v>0.38161196426779082</v>
      </c>
      <c r="D94" s="184"/>
      <c r="E94" s="49">
        <f ca="1">OFFSET(TblMili[[#This Row],[Unit 1]],-1,0) + OFFSET(TblMili[[#This Row],[Train Unit 1]],-9,0) - TblMili[[#This Row],[Release Unit 1]]</f>
        <v>0</v>
      </c>
      <c r="F94" s="49">
        <f ca="1">OFFSET(TblMili[[#This Row],[Unit 2]],-1,0) + OFFSET(TblMili[[#This Row],[Train Unit 2]],-9,0)-TblMili[[#This Row],[Release Unit 2]]</f>
        <v>1081</v>
      </c>
      <c r="G94" s="49">
        <f ca="1">OFFSET(TblMili[[#This Row],[Unit 3]],-1,0) + OFFSET(TblMili[[#This Row],[Train Unit 3]],-12,0)-TblMili[[#This Row],[Release Unit 3]]</f>
        <v>125</v>
      </c>
      <c r="H94" s="49">
        <f ca="1">OFFSET(TblMili[[#This Row],[Unit 4]],-1,0) + OFFSET(TblMili[[#This Row],[Train Unit 4]],-12,0)-TblMili[[#This Row],[Release Unit 4]]</f>
        <v>600</v>
      </c>
      <c r="I94" s="49">
        <f ca="1">OFFSET(TblMili[[#This Row],[Spies]],-1,0) + OFFSET(TblMili[[#This Row],[Train Spies]],-12,0) - TblMili[[#This Row],[Release Spies]]</f>
        <v>35</v>
      </c>
      <c r="J94" s="49">
        <f ca="1">OFFSET(TblMili[[#This Row],[Wizards]],-1,0) + OFFSET(TblMili[[#This Row],[Train Wiz]],-12,0) - TblMili[[#This Row],[Release Wizards]]-TblMili[[#This Row],[Train Arch]]</f>
        <v>35</v>
      </c>
      <c r="K94" s="49">
        <f ca="1">OFFSET(TblMili[[#This Row],[Archmages]],-1,0) + OFFSET(TblMili[[#This Row],[Train Arch]],-12,0) - TblMili[[#This Row],[Release Arch]]</f>
        <v>0</v>
      </c>
      <c r="L94" s="184"/>
      <c r="M94" s="113">
        <f ca="1">TblProd[[#This Row],[Networth]]</f>
        <v>29507.5</v>
      </c>
      <c r="N94" s="184"/>
      <c r="O94" s="319">
        <f ca="1">TblMili[[#This Row],[Unit 1]]*spec_op+TblMili[[#This Row],[Unit 3]]*(elite1_base_op+dark_elf*TblMili[[#This Row],[Adept]])+TblMili[[#This Row],[Unit 4]]*(elite2_base_op+icekin*TblMili[[#This Row],[Ice Elemental]]+woodie*TblMili[[#This Row],[Druid (op)]]+orc*TblMili[[#This Row],[Orc]])+kobold*TblMili[[#This Row],[Overlords]]</f>
        <v>3850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3946.2499999999995</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4" s="319">
        <f ca="1">TblMili[[#This Row],[Non Draft]]+TblMili[[#This Row],[Draftees]]</f>
        <v>7719</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5793</v>
      </c>
      <c r="V94" s="319">
        <f ca="1">TblMili[[#This Row],[Draft]] * (1 + TblMili[[#This Row],[Mods_Def]])</f>
        <v>7719</v>
      </c>
      <c r="W94" s="319">
        <f ca="1">TblConstr[[#This Row],[Land]]</f>
        <v>600</v>
      </c>
      <c r="X94" s="322"/>
      <c r="Y94" s="327">
        <f ca="1">IF(TblMili[[#This Row],[Set]]&lt;&gt;"",TblMili[[#This Row],[Set]],OFFSET(TblMili[[#This Row],[Draftrate]],-1,0))</f>
        <v>0.9</v>
      </c>
      <c r="Z94" s="113">
        <f ca="1">OFFSET(TblMili[[#This Row],[Draftees]],-1,0)+OFFSET(TblPop[[#This Row],[Draft Growth]],-1,0) - SUM(TblMili[[#This Row],[Train Unit 1]:[Train Wiz]]) - TblMili[[#This Row],[Release Draft]] + SUM(TblMili[[#This Row],[Release Unit 1]:[Release Arch]]) -TblExplore[[#This Row],[Draftees (2)]]</f>
        <v>1926</v>
      </c>
      <c r="AA94" s="200"/>
      <c r="AB94" s="234">
        <f ca="1">(TblConstr[[#This Row],[Tot Smi]]+TblConstr[[#This Row],[Dest Smi]])/(TblConstr[[#This Row],[Land]]-TblExplore[[#This Row],[Land Bonus]]*20)</f>
        <v>0.18</v>
      </c>
      <c r="AC94" s="178"/>
      <c r="AD94" s="318">
        <f>TblMili[[#This Row],[Hour]]</f>
        <v>91</v>
      </c>
      <c r="AE94" s="179">
        <f ca="1">TblExplore[[#This Row],[Time]]</f>
        <v>44408.499999999782</v>
      </c>
      <c r="AF94" s="232"/>
      <c r="AG94" s="232"/>
      <c r="AH94" s="232"/>
      <c r="AI94" s="232"/>
      <c r="AJ94" s="232"/>
      <c r="AK94" s="232"/>
      <c r="AL94" s="232"/>
      <c r="AM94" s="184"/>
      <c r="AN94" s="113">
        <f ca="1">TblProd[[#This Row],[Platinum]]</f>
        <v>881075</v>
      </c>
      <c r="AO94" s="113">
        <f ca="1">INDEX(TblProd[[#Headers],[Lumber]]:TblProd[[#This Row],[Ore]],COUNTA(TblProd[[#Headers],[Lumber]]:TblProd[[#This Row],[Lumber]]),MATCH(Military!$AO$2,TblProd[[#Headers],[Lumber]:[Ore]],0))</f>
        <v>51590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44408.499999999782</v>
      </c>
      <c r="AT94" s="113">
        <f ca="1">TblMili[[#This Row],[Draftees]]</f>
        <v>1926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176</v>
      </c>
      <c r="BG94" s="113">
        <f ca="1">ROUNDUP(IF(race="Gnome",1,(1-MIN(TblMili[[#This Row],[Smithies]]*smithy_bonus,smithy_bonus_cap) + tech_3_5*TblTech[[#This Row],[3-5]] + tech_5_3*TblTech[[#This Row],[5-3]] + tech_5_5*TblTech[[#This Row],[5-5]]))*spec_op_ore,0)</f>
        <v>16</v>
      </c>
      <c r="BH94" s="113">
        <f ca="1">ROUNDUP((1-MIN(TblMili[[#This Row],[Smithies]]*smithy_bonus,smithy_bonus_cap) + tech_3_5*TblTech[[#This Row],[3-5]] + tech_5_3*TblTech[[#This Row],[5-3]] + tech_5_5*TblTech[[#This Row],[5-5]])*spec_dp_plat,0)</f>
        <v>176</v>
      </c>
      <c r="BI94" s="113">
        <f ca="1">ROUNDUP(IF(race="Gnome",1,(1-MIN(TblMili[[#This Row],[Smithies]]*smithy_bonus,smithy_bonus_cap) + tech_3_5*TblTech[[#This Row],[3-5]] + tech_5_3*TblTech[[#This Row],[5-3]] + tech_5_5*TblTech[[#This Row],[5-5]]))*spec_dp_ore,0)</f>
        <v>10</v>
      </c>
      <c r="BJ94" s="113">
        <f ca="1">ROUNDUP((1-MIN(TblMili[[#This Row],[Smithies]]*smithy_bonus,smithy_bonus_cap) + tech_3_5*TblTech[[#This Row],[3-5]] + tech_5_3*TblTech[[#This Row],[5-3]] + tech_5_5*TblTech[[#This Row],[5-5]])*elite1_plat,0)</f>
        <v>656</v>
      </c>
      <c r="BK94" s="113">
        <f ca="1">ROUNDUP(IF(race="Gnome",1,(1-MIN(TblMili[[#This Row],[Smithies]]*smithy_bonus,smithy_bonus_cap) + tech_3_5*TblTech[[#This Row],[3-5]] + tech_5_3*TblTech[[#This Row],[5-3]] + tech_5_5*TblTech[[#This Row],[5-5]]))*elite1_ore,0)</f>
        <v>48</v>
      </c>
      <c r="BL94" s="113">
        <f ca="1">ROUNDUP((1-MIN(TblMili[[#This Row],[Smithies]]*smithy_bonus,smithy_bonus_cap) + tech_3_5*TblTech[[#This Row],[3-5]] + tech_5_3*TblTech[[#This Row],[5-3]] + tech_5_5*TblTech[[#This Row],[5-5]])*elite2_plat,0)</f>
        <v>800</v>
      </c>
      <c r="BM94" s="113">
        <f ca="1">ROUNDUP(IF(race="Gnome",1,(1-MIN(TblMili[[#This Row],[Smithies]]*smithy_bonus,smithy_bonus_cap) + tech_3_5*TblTech[[#This Row],[3-5]] + tech_5_3*TblTech[[#This Row],[5-3]] + tech_5_5*TblTech[[#This Row],[5-5]]))*elite2_ore,0)</f>
        <v>64</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0.75</v>
      </c>
      <c r="BS94" s="208">
        <f ca="1">TblMili[[#This Row],[WG''s]]</f>
        <v>0</v>
      </c>
      <c r="BT94" s="323">
        <f ca="1">IF(mystic_cap="none",TblMili[[#This Row],[Hill]]/mystic_bonus,MIN(mystic_cap,TblMili[[#This Row],[Hill]]/mystic_bonus))</f>
        <v>3.75</v>
      </c>
      <c r="BU94" s="323">
        <f ca="1">IF(druid_op_cap="none",TblMili[[#This Row],[Hill]]/druid_op_bonus,MIN(druid_op_cap,TblMili[[#This Row],[Hill]]/druid_op_bonus))</f>
        <v>3.75</v>
      </c>
      <c r="BV94" s="323">
        <f ca="1">IF(druid_dp_cap="none",TblMili[[#This Row],[Hill]]/druid_dp_bonus,MIN(druid_dp_cap,TblMili[[#This Row],[Hill]]/druid_dp_bonus))</f>
        <v>3.75</v>
      </c>
      <c r="BW94" s="323">
        <f ca="1">MIN(dryad_cap,TblMili[[#This Row],[Hill]]/dryad_bonus)</f>
        <v>3.75</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250</v>
      </c>
      <c r="CB94" s="124">
        <f ca="1">MIN(TblMili[[#This Row],[Unit 1]],TblMili[[#This Row],[Unit 4]])*2</f>
        <v>0</v>
      </c>
      <c r="CC94" s="323">
        <f ca="1">MIN(frost_mage_cap,TblMili[[#This Row],[Hill]]/frost_mage_bonus)</f>
        <v>3</v>
      </c>
      <c r="CD94" s="59">
        <f ca="1">MIN(ice_elem_cap,TblMili[[#This Row],[Raw (2)]]*ice_elem_bonus)</f>
        <v>5.8333333333333334E-2</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3.95</v>
      </c>
      <c r="CK9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4" s="113">
        <f ca="1">TblMili[[#This Row],[Mystic bonus]]*TblMili[[#This Row],[Unit 3]]+TblMili[[#This Row],[Druid bonus]]*TblMili[[#This Row],[Unit 4]]</f>
        <v>4836.25</v>
      </c>
      <c r="CM94" s="201">
        <f ca="1">MIN(6,TblMili[[#This Row],[Dryad]]+Races!$F$35)*1.8 +  IF(TblMili[[#This Row],[Dryad]]+Races!$F$35&gt;6,(TblMili[[#This Row],[Dryad]]+Races!$F$35-6)*0.2,0) - Races!$I$19</f>
        <v>3.7500000000000009</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5.4</v>
      </c>
      <c r="CT94" s="201">
        <f ca="1">1.8 * MIN(MAX(TblMili[[#This Row],[Ice Elemental]]+Races!$E$71,Races!$F$71),6)  +  0.45 * MIN(MIN(TblMili[[#This Row],[Ice Elemental]]+Races!$E$71,Races!$F$71),6)  +  0.2 * ( MAX(TblMili[[#This Row],[Ice Elemental]]+Races!$E$71-6,0) + MAX(Races!$F$71-6,0) )  -  Races!$I$71</f>
        <v>0.10500000000000043</v>
      </c>
      <c r="CU94" s="113">
        <f ca="1">TblMili[[#This Row],[Frost Mage bonus]]*TblMili[[#This Row],[Unit 3]]+TblMili[[#This Row],[Ice Elemental bonus]]*TblMili[[#This Row],[Unit 4]]</f>
        <v>738.00000000000023</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4" s="184"/>
      <c r="DA94" s="326">
        <f ca="1">(TblMili[[#This Row],[Wizards]]+2*TblMili[[#This Row],[Archmages]])/TblConstr[[#This Row],[Land]]</f>
        <v>5.8333333333333334E-2</v>
      </c>
      <c r="DB94" s="326">
        <f ca="1">TblMili[[#This Row],[Raw (2)]]*(1+race_wizard_strength+IF(TblMili[[#This Row],[Hour]]&gt;72,tech_magical_weaponry_wiz*TblTech[[#This Row],[3-5]],0))</f>
        <v>5.8333333333333334E-2</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3864</v>
      </c>
      <c r="C95" s="203">
        <f ca="1">TblPop[[#This Row],[Military%]]</f>
        <v>0.3878349894610057</v>
      </c>
      <c r="D95" s="184"/>
      <c r="E95" s="49">
        <f ca="1">OFFSET(TblMili[[#This Row],[Unit 1]],-1,0) + OFFSET(TblMili[[#This Row],[Train Unit 1]],-9,0) - TblMili[[#This Row],[Release Unit 1]]</f>
        <v>0</v>
      </c>
      <c r="F95" s="49">
        <f ca="1">OFFSET(TblMili[[#This Row],[Unit 2]],-1,0) + OFFSET(TblMili[[#This Row],[Train Unit 2]],-9,0)-TblMili[[#This Row],[Release Unit 2]]</f>
        <v>1081</v>
      </c>
      <c r="G95" s="49">
        <f ca="1">OFFSET(TblMili[[#This Row],[Unit 3]],-1,0) + OFFSET(TblMili[[#This Row],[Train Unit 3]],-12,0)-TblMili[[#This Row],[Release Unit 3]]</f>
        <v>125</v>
      </c>
      <c r="H95" s="49">
        <f ca="1">OFFSET(TblMili[[#This Row],[Unit 4]],-1,0) + OFFSET(TblMili[[#This Row],[Train Unit 4]],-12,0)-TblMili[[#This Row],[Release Unit 4]]</f>
        <v>600</v>
      </c>
      <c r="I95" s="49">
        <f ca="1">OFFSET(TblMili[[#This Row],[Spies]],-1,0) + OFFSET(TblMili[[#This Row],[Train Spies]],-12,0) - TblMili[[#This Row],[Release Spies]]</f>
        <v>35</v>
      </c>
      <c r="J95" s="49">
        <f ca="1">OFFSET(TblMili[[#This Row],[Wizards]],-1,0) + OFFSET(TblMili[[#This Row],[Train Wiz]],-12,0) - TblMili[[#This Row],[Release Wizards]]-TblMili[[#This Row],[Train Arch]]</f>
        <v>35</v>
      </c>
      <c r="K95" s="49">
        <f ca="1">OFFSET(TblMili[[#This Row],[Archmages]],-1,0) + OFFSET(TblMili[[#This Row],[Train Arch]],-12,0) - TblMili[[#This Row],[Release Arch]]</f>
        <v>0</v>
      </c>
      <c r="L95" s="184"/>
      <c r="M95" s="113">
        <f ca="1">TblProd[[#This Row],[Networth]]</f>
        <v>29507.5</v>
      </c>
      <c r="N95" s="184"/>
      <c r="O95" s="319">
        <f ca="1">TblMili[[#This Row],[Unit 1]]*spec_op+TblMili[[#This Row],[Unit 3]]*(elite1_base_op+dark_elf*TblMili[[#This Row],[Adept]])+TblMili[[#This Row],[Unit 4]]*(elite2_base_op+icekin*TblMili[[#This Row],[Ice Elemental]]+woodie*TblMili[[#This Row],[Druid (op)]]+orc*TblMili[[#This Row],[Orc]])+kobold*TblMili[[#This Row],[Overlords]]</f>
        <v>3850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3946.2499999999995</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5" s="319">
        <f ca="1">TblMili[[#This Row],[Non Draft]]+TblMili[[#This Row],[Draftees]]</f>
        <v>7781</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5793</v>
      </c>
      <c r="V95" s="319">
        <f ca="1">TblMili[[#This Row],[Draft]] * (1 + TblMili[[#This Row],[Mods_Def]])</f>
        <v>7781</v>
      </c>
      <c r="W95" s="319">
        <f ca="1">TblConstr[[#This Row],[Land]]</f>
        <v>600</v>
      </c>
      <c r="X95" s="322"/>
      <c r="Y95" s="327">
        <f ca="1">IF(TblMili[[#This Row],[Set]]&lt;&gt;"",TblMili[[#This Row],[Set]],OFFSET(TblMili[[#This Row],[Draftrate]],-1,0))</f>
        <v>0.9</v>
      </c>
      <c r="Z95" s="113">
        <f ca="1">OFFSET(TblMili[[#This Row],[Draftees]],-1,0)+OFFSET(TblPop[[#This Row],[Draft Growth]],-1,0) - SUM(TblMili[[#This Row],[Train Unit 1]:[Train Wiz]]) - TblMili[[#This Row],[Release Draft]] + SUM(TblMili[[#This Row],[Release Unit 1]:[Release Arch]]) -TblExplore[[#This Row],[Draftees (2)]]</f>
        <v>1988</v>
      </c>
      <c r="AA95" s="200"/>
      <c r="AB95" s="234">
        <f ca="1">(TblConstr[[#This Row],[Tot Smi]]+TblConstr[[#This Row],[Dest Smi]])/(TblConstr[[#This Row],[Land]]-TblExplore[[#This Row],[Land Bonus]]*20)</f>
        <v>0.18</v>
      </c>
      <c r="AC95" s="178"/>
      <c r="AD95" s="318">
        <f>TblMili[[#This Row],[Hour]]</f>
        <v>92</v>
      </c>
      <c r="AE95" s="179">
        <f ca="1">TblExplore[[#This Row],[Time]]</f>
        <v>44408.541666666446</v>
      </c>
      <c r="AF95" s="232"/>
      <c r="AG95" s="232"/>
      <c r="AH95" s="232"/>
      <c r="AI95" s="232"/>
      <c r="AJ95" s="232"/>
      <c r="AK95" s="232"/>
      <c r="AL95" s="232"/>
      <c r="AM95" s="184"/>
      <c r="AN95" s="113">
        <f ca="1">TblProd[[#This Row],[Platinum]]</f>
        <v>909589</v>
      </c>
      <c r="AO95" s="113">
        <f ca="1">INDEX(TblProd[[#Headers],[Lumber]]:TblProd[[#This Row],[Ore]],COUNTA(TblProd[[#Headers],[Lumber]]:TblProd[[#This Row],[Lumber]]),MATCH(Military!$AO$2,TblProd[[#Headers],[Lumber]:[Ore]],0))</f>
        <v>53390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44408.541666666446</v>
      </c>
      <c r="AT95" s="113">
        <f ca="1">TblMili[[#This Row],[Draftees]]</f>
        <v>1988</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176</v>
      </c>
      <c r="BG95" s="113">
        <f ca="1">ROUNDUP(IF(race="Gnome",1,(1-MIN(TblMili[[#This Row],[Smithies]]*smithy_bonus,smithy_bonus_cap) + tech_3_5*TblTech[[#This Row],[3-5]] + tech_5_3*TblTech[[#This Row],[5-3]] + tech_5_5*TblTech[[#This Row],[5-5]]))*spec_op_ore,0)</f>
        <v>16</v>
      </c>
      <c r="BH95" s="113">
        <f ca="1">ROUNDUP((1-MIN(TblMili[[#This Row],[Smithies]]*smithy_bonus,smithy_bonus_cap) + tech_3_5*TblTech[[#This Row],[3-5]] + tech_5_3*TblTech[[#This Row],[5-3]] + tech_5_5*TblTech[[#This Row],[5-5]])*spec_dp_plat,0)</f>
        <v>176</v>
      </c>
      <c r="BI95" s="113">
        <f ca="1">ROUNDUP(IF(race="Gnome",1,(1-MIN(TblMili[[#This Row],[Smithies]]*smithy_bonus,smithy_bonus_cap) + tech_3_5*TblTech[[#This Row],[3-5]] + tech_5_3*TblTech[[#This Row],[5-3]] + tech_5_5*TblTech[[#This Row],[5-5]]))*spec_dp_ore,0)</f>
        <v>10</v>
      </c>
      <c r="BJ95" s="113">
        <f ca="1">ROUNDUP((1-MIN(TblMili[[#This Row],[Smithies]]*smithy_bonus,smithy_bonus_cap) + tech_3_5*TblTech[[#This Row],[3-5]] + tech_5_3*TblTech[[#This Row],[5-3]] + tech_5_5*TblTech[[#This Row],[5-5]])*elite1_plat,0)</f>
        <v>656</v>
      </c>
      <c r="BK95" s="113">
        <f ca="1">ROUNDUP(IF(race="Gnome",1,(1-MIN(TblMili[[#This Row],[Smithies]]*smithy_bonus,smithy_bonus_cap) + tech_3_5*TblTech[[#This Row],[3-5]] + tech_5_3*TblTech[[#This Row],[5-3]] + tech_5_5*TblTech[[#This Row],[5-5]]))*elite1_ore,0)</f>
        <v>48</v>
      </c>
      <c r="BL95" s="113">
        <f ca="1">ROUNDUP((1-MIN(TblMili[[#This Row],[Smithies]]*smithy_bonus,smithy_bonus_cap) + tech_3_5*TblTech[[#This Row],[3-5]] + tech_5_3*TblTech[[#This Row],[5-3]] + tech_5_5*TblTech[[#This Row],[5-5]])*elite2_plat,0)</f>
        <v>800</v>
      </c>
      <c r="BM95" s="113">
        <f ca="1">ROUNDUP(IF(race="Gnome",1,(1-MIN(TblMili[[#This Row],[Smithies]]*smithy_bonus,smithy_bonus_cap) + tech_3_5*TblTech[[#This Row],[3-5]] + tech_5_3*TblTech[[#This Row],[5-3]] + tech_5_5*TblTech[[#This Row],[5-5]]))*elite2_ore,0)</f>
        <v>64</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0.75</v>
      </c>
      <c r="BS95" s="208">
        <f ca="1">TblMili[[#This Row],[WG''s]]</f>
        <v>0</v>
      </c>
      <c r="BT95" s="323">
        <f ca="1">IF(mystic_cap="none",TblMili[[#This Row],[Hill]]/mystic_bonus,MIN(mystic_cap,TblMili[[#This Row],[Hill]]/mystic_bonus))</f>
        <v>3.75</v>
      </c>
      <c r="BU95" s="323">
        <f ca="1">IF(druid_op_cap="none",TblMili[[#This Row],[Hill]]/druid_op_bonus,MIN(druid_op_cap,TblMili[[#This Row],[Hill]]/druid_op_bonus))</f>
        <v>3.75</v>
      </c>
      <c r="BV95" s="323">
        <f ca="1">IF(druid_dp_cap="none",TblMili[[#This Row],[Hill]]/druid_dp_bonus,MIN(druid_dp_cap,TblMili[[#This Row],[Hill]]/druid_dp_bonus))</f>
        <v>3.75</v>
      </c>
      <c r="BW95" s="323">
        <f ca="1">MIN(dryad_cap,TblMili[[#This Row],[Hill]]/dryad_bonus)</f>
        <v>3.75</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250</v>
      </c>
      <c r="CB95" s="124">
        <f ca="1">MIN(TblMili[[#This Row],[Unit 1]],TblMili[[#This Row],[Unit 4]])*2</f>
        <v>0</v>
      </c>
      <c r="CC95" s="323">
        <f ca="1">MIN(frost_mage_cap,TblMili[[#This Row],[Hill]]/frost_mage_bonus)</f>
        <v>3</v>
      </c>
      <c r="CD95" s="59">
        <f ca="1">MIN(ice_elem_cap,TblMili[[#This Row],[Raw (2)]]*ice_elem_bonus)</f>
        <v>5.8333333333333334E-2</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3.95</v>
      </c>
      <c r="CK9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5" s="113">
        <f ca="1">TblMili[[#This Row],[Mystic bonus]]*TblMili[[#This Row],[Unit 3]]+TblMili[[#This Row],[Druid bonus]]*TblMili[[#This Row],[Unit 4]]</f>
        <v>4836.25</v>
      </c>
      <c r="CM95" s="201">
        <f ca="1">MIN(6,TblMili[[#This Row],[Dryad]]+Races!$F$35)*1.8 +  IF(TblMili[[#This Row],[Dryad]]+Races!$F$35&gt;6,(TblMili[[#This Row],[Dryad]]+Races!$F$35-6)*0.2,0) - Races!$I$19</f>
        <v>3.7500000000000009</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5.4</v>
      </c>
      <c r="CT95" s="201">
        <f ca="1">1.8 * MIN(MAX(TblMili[[#This Row],[Ice Elemental]]+Races!$E$71,Races!$F$71),6)  +  0.45 * MIN(MIN(TblMili[[#This Row],[Ice Elemental]]+Races!$E$71,Races!$F$71),6)  +  0.2 * ( MAX(TblMili[[#This Row],[Ice Elemental]]+Races!$E$71-6,0) + MAX(Races!$F$71-6,0) )  -  Races!$I$71</f>
        <v>0.10500000000000043</v>
      </c>
      <c r="CU95" s="113">
        <f ca="1">TblMili[[#This Row],[Frost Mage bonus]]*TblMili[[#This Row],[Unit 3]]+TblMili[[#This Row],[Ice Elemental bonus]]*TblMili[[#This Row],[Unit 4]]</f>
        <v>738.00000000000023</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5" s="184"/>
      <c r="DA95" s="326">
        <f ca="1">(TblMili[[#This Row],[Wizards]]+2*TblMili[[#This Row],[Archmages]])/TblConstr[[#This Row],[Land]]</f>
        <v>5.8333333333333334E-2</v>
      </c>
      <c r="DB95" s="326">
        <f ca="1">TblMili[[#This Row],[Raw (2)]]*(1+race_wizard_strength+IF(TblMili[[#This Row],[Hour]]&gt;72,tech_magical_weaponry_wiz*TblTech[[#This Row],[3-5]],0))</f>
        <v>5.8333333333333334E-2</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3925</v>
      </c>
      <c r="C96" s="203">
        <f ca="1">TblPop[[#This Row],[Military%]]</f>
        <v>0.39395764328013649</v>
      </c>
      <c r="D96" s="184"/>
      <c r="E96" s="49">
        <f ca="1">OFFSET(TblMili[[#This Row],[Unit 1]],-1,0) + OFFSET(TblMili[[#This Row],[Train Unit 1]],-9,0) - TblMili[[#This Row],[Release Unit 1]]</f>
        <v>0</v>
      </c>
      <c r="F96" s="49">
        <f ca="1">OFFSET(TblMili[[#This Row],[Unit 2]],-1,0) + OFFSET(TblMili[[#This Row],[Train Unit 2]],-9,0)-TblMili[[#This Row],[Release Unit 2]]</f>
        <v>1081</v>
      </c>
      <c r="G96" s="49">
        <f ca="1">OFFSET(TblMili[[#This Row],[Unit 3]],-1,0) + OFFSET(TblMili[[#This Row],[Train Unit 3]],-12,0)-TblMili[[#This Row],[Release Unit 3]]</f>
        <v>125</v>
      </c>
      <c r="H96" s="49">
        <f ca="1">OFFSET(TblMili[[#This Row],[Unit 4]],-1,0) + OFFSET(TblMili[[#This Row],[Train Unit 4]],-12,0)-TblMili[[#This Row],[Release Unit 4]]</f>
        <v>600</v>
      </c>
      <c r="I96" s="49">
        <f ca="1">OFFSET(TblMili[[#This Row],[Spies]],-1,0) + OFFSET(TblMili[[#This Row],[Train Spies]],-12,0) - TblMili[[#This Row],[Release Spies]]</f>
        <v>35</v>
      </c>
      <c r="J96" s="49">
        <f ca="1">OFFSET(TblMili[[#This Row],[Wizards]],-1,0) + OFFSET(TblMili[[#This Row],[Train Wiz]],-12,0) - TblMili[[#This Row],[Release Wizards]]-TblMili[[#This Row],[Train Arch]]</f>
        <v>35</v>
      </c>
      <c r="K96" s="49">
        <f ca="1">OFFSET(TblMili[[#This Row],[Archmages]],-1,0) + OFFSET(TblMili[[#This Row],[Train Arch]],-12,0) - TblMili[[#This Row],[Release Arch]]</f>
        <v>0</v>
      </c>
      <c r="L96" s="184"/>
      <c r="M96" s="113">
        <f ca="1">TblProd[[#This Row],[Networth]]</f>
        <v>29507.5</v>
      </c>
      <c r="N96" s="184"/>
      <c r="O96" s="319">
        <f ca="1">TblMili[[#This Row],[Unit 1]]*spec_op+TblMili[[#This Row],[Unit 3]]*(elite1_base_op+dark_elf*TblMili[[#This Row],[Adept]])+TblMili[[#This Row],[Unit 4]]*(elite2_base_op+icekin*TblMili[[#This Row],[Ice Elemental]]+woodie*TblMili[[#This Row],[Druid (op)]]+orc*TblMili[[#This Row],[Orc]])+kobold*TblMili[[#This Row],[Overlords]]</f>
        <v>3850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3946.2499999999995</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6" s="319">
        <f ca="1">TblMili[[#This Row],[Non Draft]]+TblMili[[#This Row],[Draftees]]</f>
        <v>7842</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5793</v>
      </c>
      <c r="V96" s="319">
        <f ca="1">TblMili[[#This Row],[Draft]] * (1 + TblMili[[#This Row],[Mods_Def]])</f>
        <v>7842</v>
      </c>
      <c r="W96" s="319">
        <f ca="1">TblConstr[[#This Row],[Land]]</f>
        <v>600</v>
      </c>
      <c r="X96" s="322"/>
      <c r="Y96" s="327">
        <f ca="1">IF(TblMili[[#This Row],[Set]]&lt;&gt;"",TblMili[[#This Row],[Set]],OFFSET(TblMili[[#This Row],[Draftrate]],-1,0))</f>
        <v>0.9</v>
      </c>
      <c r="Z96" s="113">
        <f ca="1">OFFSET(TblMili[[#This Row],[Draftees]],-1,0)+OFFSET(TblPop[[#This Row],[Draft Growth]],-1,0) - SUM(TblMili[[#This Row],[Train Unit 1]:[Train Wiz]]) - TblMili[[#This Row],[Release Draft]] + SUM(TblMili[[#This Row],[Release Unit 1]:[Release Arch]]) -TblExplore[[#This Row],[Draftees (2)]]</f>
        <v>2049</v>
      </c>
      <c r="AA96" s="200"/>
      <c r="AB96" s="234">
        <f ca="1">(TblConstr[[#This Row],[Tot Smi]]+TblConstr[[#This Row],[Dest Smi]])/(TblConstr[[#This Row],[Land]]-TblExplore[[#This Row],[Land Bonus]]*20)</f>
        <v>0.18</v>
      </c>
      <c r="AC96" s="178"/>
      <c r="AD96" s="318">
        <f>TblMili[[#This Row],[Hour]]</f>
        <v>93</v>
      </c>
      <c r="AE96" s="179">
        <f ca="1">TblExplore[[#This Row],[Time]]</f>
        <v>44408.58333333311</v>
      </c>
      <c r="AF96" s="232"/>
      <c r="AG96" s="232"/>
      <c r="AH96" s="232"/>
      <c r="AI96" s="232"/>
      <c r="AJ96" s="232"/>
      <c r="AK96" s="232"/>
      <c r="AL96" s="232"/>
      <c r="AM96" s="184"/>
      <c r="AN96" s="113">
        <f ca="1">TblProd[[#This Row],[Platinum]]</f>
        <v>937936</v>
      </c>
      <c r="AO96" s="113">
        <f ca="1">INDEX(TblProd[[#Headers],[Lumber]]:TblProd[[#This Row],[Ore]],COUNTA(TblProd[[#Headers],[Lumber]]:TblProd[[#This Row],[Lumber]]),MATCH(Military!$AO$2,TblProd[[#Headers],[Lumber]:[Ore]],0))</f>
        <v>55190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44408.58333333311</v>
      </c>
      <c r="AT96" s="113">
        <f ca="1">TblMili[[#This Row],[Draftees]]</f>
        <v>2049</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176</v>
      </c>
      <c r="BG96" s="113">
        <f ca="1">ROUNDUP(IF(race="Gnome",1,(1-MIN(TblMili[[#This Row],[Smithies]]*smithy_bonus,smithy_bonus_cap) + tech_3_5*TblTech[[#This Row],[3-5]] + tech_5_3*TblTech[[#This Row],[5-3]] + tech_5_5*TblTech[[#This Row],[5-5]]))*spec_op_ore,0)</f>
        <v>16</v>
      </c>
      <c r="BH96" s="113">
        <f ca="1">ROUNDUP((1-MIN(TblMili[[#This Row],[Smithies]]*smithy_bonus,smithy_bonus_cap) + tech_3_5*TblTech[[#This Row],[3-5]] + tech_5_3*TblTech[[#This Row],[5-3]] + tech_5_5*TblTech[[#This Row],[5-5]])*spec_dp_plat,0)</f>
        <v>176</v>
      </c>
      <c r="BI96" s="113">
        <f ca="1">ROUNDUP(IF(race="Gnome",1,(1-MIN(TblMili[[#This Row],[Smithies]]*smithy_bonus,smithy_bonus_cap) + tech_3_5*TblTech[[#This Row],[3-5]] + tech_5_3*TblTech[[#This Row],[5-3]] + tech_5_5*TblTech[[#This Row],[5-5]]))*spec_dp_ore,0)</f>
        <v>10</v>
      </c>
      <c r="BJ96" s="113">
        <f ca="1">ROUNDUP((1-MIN(TblMili[[#This Row],[Smithies]]*smithy_bonus,smithy_bonus_cap) + tech_3_5*TblTech[[#This Row],[3-5]] + tech_5_3*TblTech[[#This Row],[5-3]] + tech_5_5*TblTech[[#This Row],[5-5]])*elite1_plat,0)</f>
        <v>656</v>
      </c>
      <c r="BK96" s="113">
        <f ca="1">ROUNDUP(IF(race="Gnome",1,(1-MIN(TblMili[[#This Row],[Smithies]]*smithy_bonus,smithy_bonus_cap) + tech_3_5*TblTech[[#This Row],[3-5]] + tech_5_3*TblTech[[#This Row],[5-3]] + tech_5_5*TblTech[[#This Row],[5-5]]))*elite1_ore,0)</f>
        <v>48</v>
      </c>
      <c r="BL96" s="113">
        <f ca="1">ROUNDUP((1-MIN(TblMili[[#This Row],[Smithies]]*smithy_bonus,smithy_bonus_cap) + tech_3_5*TblTech[[#This Row],[3-5]] + tech_5_3*TblTech[[#This Row],[5-3]] + tech_5_5*TblTech[[#This Row],[5-5]])*elite2_plat,0)</f>
        <v>800</v>
      </c>
      <c r="BM96" s="113">
        <f ca="1">ROUNDUP(IF(race="Gnome",1,(1-MIN(TblMili[[#This Row],[Smithies]]*smithy_bonus,smithy_bonus_cap) + tech_3_5*TblTech[[#This Row],[3-5]] + tech_5_3*TblTech[[#This Row],[5-3]] + tech_5_5*TblTech[[#This Row],[5-5]]))*elite2_ore,0)</f>
        <v>64</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0.75</v>
      </c>
      <c r="BS96" s="208">
        <f ca="1">TblMili[[#This Row],[WG''s]]</f>
        <v>0</v>
      </c>
      <c r="BT96" s="323">
        <f ca="1">IF(mystic_cap="none",TblMili[[#This Row],[Hill]]/mystic_bonus,MIN(mystic_cap,TblMili[[#This Row],[Hill]]/mystic_bonus))</f>
        <v>3.75</v>
      </c>
      <c r="BU96" s="323">
        <f ca="1">IF(druid_op_cap="none",TblMili[[#This Row],[Hill]]/druid_op_bonus,MIN(druid_op_cap,TblMili[[#This Row],[Hill]]/druid_op_bonus))</f>
        <v>3.75</v>
      </c>
      <c r="BV96" s="323">
        <f ca="1">IF(druid_dp_cap="none",TblMili[[#This Row],[Hill]]/druid_dp_bonus,MIN(druid_dp_cap,TblMili[[#This Row],[Hill]]/druid_dp_bonus))</f>
        <v>3.75</v>
      </c>
      <c r="BW96" s="323">
        <f ca="1">MIN(dryad_cap,TblMili[[#This Row],[Hill]]/dryad_bonus)</f>
        <v>3.75</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250</v>
      </c>
      <c r="CB96" s="124">
        <f ca="1">MIN(TblMili[[#This Row],[Unit 1]],TblMili[[#This Row],[Unit 4]])*2</f>
        <v>0</v>
      </c>
      <c r="CC96" s="323">
        <f ca="1">MIN(frost_mage_cap,TblMili[[#This Row],[Hill]]/frost_mage_bonus)</f>
        <v>3</v>
      </c>
      <c r="CD96" s="59">
        <f ca="1">MIN(ice_elem_cap,TblMili[[#This Row],[Raw (2)]]*ice_elem_bonus)</f>
        <v>5.8333333333333334E-2</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3.95</v>
      </c>
      <c r="CK9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6" s="113">
        <f ca="1">TblMili[[#This Row],[Mystic bonus]]*TblMili[[#This Row],[Unit 3]]+TblMili[[#This Row],[Druid bonus]]*TblMili[[#This Row],[Unit 4]]</f>
        <v>4836.25</v>
      </c>
      <c r="CM96" s="201">
        <f ca="1">MIN(6,TblMili[[#This Row],[Dryad]]+Races!$F$35)*1.8 +  IF(TblMili[[#This Row],[Dryad]]+Races!$F$35&gt;6,(TblMili[[#This Row],[Dryad]]+Races!$F$35-6)*0.2,0) - Races!$I$19</f>
        <v>3.7500000000000009</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5.4</v>
      </c>
      <c r="CT96" s="201">
        <f ca="1">1.8 * MIN(MAX(TblMili[[#This Row],[Ice Elemental]]+Races!$E$71,Races!$F$71),6)  +  0.45 * MIN(MIN(TblMili[[#This Row],[Ice Elemental]]+Races!$E$71,Races!$F$71),6)  +  0.2 * ( MAX(TblMili[[#This Row],[Ice Elemental]]+Races!$E$71-6,0) + MAX(Races!$F$71-6,0) )  -  Races!$I$71</f>
        <v>0.10500000000000043</v>
      </c>
      <c r="CU96" s="113">
        <f ca="1">TblMili[[#This Row],[Frost Mage bonus]]*TblMili[[#This Row],[Unit 3]]+TblMili[[#This Row],[Ice Elemental bonus]]*TblMili[[#This Row],[Unit 4]]</f>
        <v>738.00000000000023</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6" s="184"/>
      <c r="DA96" s="326">
        <f ca="1">(TblMili[[#This Row],[Wizards]]+2*TblMili[[#This Row],[Archmages]])/TblConstr[[#This Row],[Land]]</f>
        <v>5.8333333333333334E-2</v>
      </c>
      <c r="DB96" s="326">
        <f ca="1">TblMili[[#This Row],[Raw (2)]]*(1+race_wizard_strength+IF(TblMili[[#This Row],[Hour]]&gt;72,tech_magical_weaponry_wiz*TblTech[[#This Row],[3-5]],0))</f>
        <v>5.8333333333333334E-2</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3985</v>
      </c>
      <c r="C97" s="203">
        <f ca="1">TblPop[[#This Row],[Military%]]</f>
        <v>0.39997992572518321</v>
      </c>
      <c r="D97" s="184"/>
      <c r="E97" s="49">
        <f ca="1">OFFSET(TblMili[[#This Row],[Unit 1]],-1,0) + OFFSET(TblMili[[#This Row],[Train Unit 1]],-9,0) - TblMili[[#This Row],[Release Unit 1]]</f>
        <v>0</v>
      </c>
      <c r="F97" s="49">
        <f ca="1">OFFSET(TblMili[[#This Row],[Unit 2]],-1,0) + OFFSET(TblMili[[#This Row],[Train Unit 2]],-9,0)-TblMili[[#This Row],[Release Unit 2]]</f>
        <v>1081</v>
      </c>
      <c r="G97" s="49">
        <f ca="1">OFFSET(TblMili[[#This Row],[Unit 3]],-1,0) + OFFSET(TblMili[[#This Row],[Train Unit 3]],-12,0)-TblMili[[#This Row],[Release Unit 3]]</f>
        <v>125</v>
      </c>
      <c r="H97" s="49">
        <f ca="1">OFFSET(TblMili[[#This Row],[Unit 4]],-1,0) + OFFSET(TblMili[[#This Row],[Train Unit 4]],-12,0)-TblMili[[#This Row],[Release Unit 4]]</f>
        <v>600</v>
      </c>
      <c r="I97" s="49">
        <f ca="1">OFFSET(TblMili[[#This Row],[Spies]],-1,0) + OFFSET(TblMili[[#This Row],[Train Spies]],-12,0) - TblMili[[#This Row],[Release Spies]]</f>
        <v>35</v>
      </c>
      <c r="J97" s="49">
        <f ca="1">OFFSET(TblMili[[#This Row],[Wizards]],-1,0) + OFFSET(TblMili[[#This Row],[Train Wiz]],-12,0) - TblMili[[#This Row],[Release Wizards]]-TblMili[[#This Row],[Train Arch]]</f>
        <v>35</v>
      </c>
      <c r="K97" s="49">
        <f ca="1">OFFSET(TblMili[[#This Row],[Archmages]],-1,0) + OFFSET(TblMili[[#This Row],[Train Arch]],-12,0) - TblMili[[#This Row],[Release Arch]]</f>
        <v>0</v>
      </c>
      <c r="L97" s="184"/>
      <c r="M97" s="113">
        <f ca="1">TblProd[[#This Row],[Networth]]</f>
        <v>29507.5</v>
      </c>
      <c r="N97" s="184"/>
      <c r="O97" s="319">
        <f ca="1">TblMili[[#This Row],[Unit 1]]*spec_op+TblMili[[#This Row],[Unit 3]]*(elite1_base_op+dark_elf*TblMili[[#This Row],[Adept]])+TblMili[[#This Row],[Unit 4]]*(elite2_base_op+icekin*TblMili[[#This Row],[Ice Elemental]]+woodie*TblMili[[#This Row],[Druid (op)]]+orc*TblMili[[#This Row],[Orc]])+kobold*TblMili[[#This Row],[Overlords]]</f>
        <v>3850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3946.2499999999995</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7" s="319">
        <f ca="1">TblMili[[#This Row],[Non Draft]]+TblMili[[#This Row],[Draftees]]</f>
        <v>7902</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5793</v>
      </c>
      <c r="V97" s="319">
        <f ca="1">TblMili[[#This Row],[Draft]] * (1 + TblMili[[#This Row],[Mods_Def]])</f>
        <v>7902</v>
      </c>
      <c r="W97" s="319">
        <f ca="1">TblConstr[[#This Row],[Land]]</f>
        <v>600</v>
      </c>
      <c r="X97" s="322"/>
      <c r="Y97" s="327">
        <f ca="1">IF(TblMili[[#This Row],[Set]]&lt;&gt;"",TblMili[[#This Row],[Set]],OFFSET(TblMili[[#This Row],[Draftrate]],-1,0))</f>
        <v>0.9</v>
      </c>
      <c r="Z97" s="113">
        <f ca="1">OFFSET(TblMili[[#This Row],[Draftees]],-1,0)+OFFSET(TblPop[[#This Row],[Draft Growth]],-1,0) - SUM(TblMili[[#This Row],[Train Unit 1]:[Train Wiz]]) - TblMili[[#This Row],[Release Draft]] + SUM(TblMili[[#This Row],[Release Unit 1]:[Release Arch]]) -TblExplore[[#This Row],[Draftees (2)]]</f>
        <v>2109</v>
      </c>
      <c r="AA97" s="200"/>
      <c r="AB97" s="234">
        <f ca="1">(TblConstr[[#This Row],[Tot Smi]]+TblConstr[[#This Row],[Dest Smi]])/(TblConstr[[#This Row],[Land]]-TblExplore[[#This Row],[Land Bonus]]*20)</f>
        <v>0.18</v>
      </c>
      <c r="AC97" s="178"/>
      <c r="AD97" s="318">
        <f>TblMili[[#This Row],[Hour]]</f>
        <v>94</v>
      </c>
      <c r="AE97" s="179">
        <f ca="1">TblExplore[[#This Row],[Time]]</f>
        <v>44408.624999999774</v>
      </c>
      <c r="AF97" s="232"/>
      <c r="AG97" s="232"/>
      <c r="AH97" s="232"/>
      <c r="AI97" s="232"/>
      <c r="AJ97" s="232"/>
      <c r="AK97" s="232"/>
      <c r="AL97" s="232"/>
      <c r="AM97" s="184"/>
      <c r="AN97" s="113">
        <f ca="1">TblProd[[#This Row],[Platinum]]</f>
        <v>966118</v>
      </c>
      <c r="AO97" s="113">
        <f ca="1">INDEX(TblProd[[#Headers],[Lumber]]:TblProd[[#This Row],[Ore]],COUNTA(TblProd[[#Headers],[Lumber]]:TblProd[[#This Row],[Lumber]]),MATCH(Military!$AO$2,TblProd[[#Headers],[Lumber]:[Ore]],0))</f>
        <v>56990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44408.624999999774</v>
      </c>
      <c r="AT97" s="113">
        <f ca="1">TblMili[[#This Row],[Draftees]]</f>
        <v>2109</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176</v>
      </c>
      <c r="BG97" s="113">
        <f ca="1">ROUNDUP(IF(race="Gnome",1,(1-MIN(TblMili[[#This Row],[Smithies]]*smithy_bonus,smithy_bonus_cap) + tech_3_5*TblTech[[#This Row],[3-5]] + tech_5_3*TblTech[[#This Row],[5-3]] + tech_5_5*TblTech[[#This Row],[5-5]]))*spec_op_ore,0)</f>
        <v>16</v>
      </c>
      <c r="BH97" s="113">
        <f ca="1">ROUNDUP((1-MIN(TblMili[[#This Row],[Smithies]]*smithy_bonus,smithy_bonus_cap) + tech_3_5*TblTech[[#This Row],[3-5]] + tech_5_3*TblTech[[#This Row],[5-3]] + tech_5_5*TblTech[[#This Row],[5-5]])*spec_dp_plat,0)</f>
        <v>176</v>
      </c>
      <c r="BI97" s="113">
        <f ca="1">ROUNDUP(IF(race="Gnome",1,(1-MIN(TblMili[[#This Row],[Smithies]]*smithy_bonus,smithy_bonus_cap) + tech_3_5*TblTech[[#This Row],[3-5]] + tech_5_3*TblTech[[#This Row],[5-3]] + tech_5_5*TblTech[[#This Row],[5-5]]))*spec_dp_ore,0)</f>
        <v>10</v>
      </c>
      <c r="BJ97" s="113">
        <f ca="1">ROUNDUP((1-MIN(TblMili[[#This Row],[Smithies]]*smithy_bonus,smithy_bonus_cap) + tech_3_5*TblTech[[#This Row],[3-5]] + tech_5_3*TblTech[[#This Row],[5-3]] + tech_5_5*TblTech[[#This Row],[5-5]])*elite1_plat,0)</f>
        <v>656</v>
      </c>
      <c r="BK97" s="113">
        <f ca="1">ROUNDUP(IF(race="Gnome",1,(1-MIN(TblMili[[#This Row],[Smithies]]*smithy_bonus,smithy_bonus_cap) + tech_3_5*TblTech[[#This Row],[3-5]] + tech_5_3*TblTech[[#This Row],[5-3]] + tech_5_5*TblTech[[#This Row],[5-5]]))*elite1_ore,0)</f>
        <v>48</v>
      </c>
      <c r="BL97" s="113">
        <f ca="1">ROUNDUP((1-MIN(TblMili[[#This Row],[Smithies]]*smithy_bonus,smithy_bonus_cap) + tech_3_5*TblTech[[#This Row],[3-5]] + tech_5_3*TblTech[[#This Row],[5-3]] + tech_5_5*TblTech[[#This Row],[5-5]])*elite2_plat,0)</f>
        <v>800</v>
      </c>
      <c r="BM97" s="113">
        <f ca="1">ROUNDUP(IF(race="Gnome",1,(1-MIN(TblMili[[#This Row],[Smithies]]*smithy_bonus,smithy_bonus_cap) + tech_3_5*TblTech[[#This Row],[3-5]] + tech_5_3*TblTech[[#This Row],[5-3]] + tech_5_5*TblTech[[#This Row],[5-5]]))*elite2_ore,0)</f>
        <v>64</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0.75</v>
      </c>
      <c r="BS97" s="208">
        <f ca="1">TblMili[[#This Row],[WG''s]]</f>
        <v>0</v>
      </c>
      <c r="BT97" s="323">
        <f ca="1">IF(mystic_cap="none",TblMili[[#This Row],[Hill]]/mystic_bonus,MIN(mystic_cap,TblMili[[#This Row],[Hill]]/mystic_bonus))</f>
        <v>3.75</v>
      </c>
      <c r="BU97" s="323">
        <f ca="1">IF(druid_op_cap="none",TblMili[[#This Row],[Hill]]/druid_op_bonus,MIN(druid_op_cap,TblMili[[#This Row],[Hill]]/druid_op_bonus))</f>
        <v>3.75</v>
      </c>
      <c r="BV97" s="323">
        <f ca="1">IF(druid_dp_cap="none",TblMili[[#This Row],[Hill]]/druid_dp_bonus,MIN(druid_dp_cap,TblMili[[#This Row],[Hill]]/druid_dp_bonus))</f>
        <v>3.75</v>
      </c>
      <c r="BW97" s="323">
        <f ca="1">MIN(dryad_cap,TblMili[[#This Row],[Hill]]/dryad_bonus)</f>
        <v>3.75</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250</v>
      </c>
      <c r="CB97" s="124">
        <f ca="1">MIN(TblMili[[#This Row],[Unit 1]],TblMili[[#This Row],[Unit 4]])*2</f>
        <v>0</v>
      </c>
      <c r="CC97" s="323">
        <f ca="1">MIN(frost_mage_cap,TblMili[[#This Row],[Hill]]/frost_mage_bonus)</f>
        <v>3</v>
      </c>
      <c r="CD97" s="59">
        <f ca="1">MIN(ice_elem_cap,TblMili[[#This Row],[Raw (2)]]*ice_elem_bonus)</f>
        <v>5.8333333333333334E-2</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3.95</v>
      </c>
      <c r="CK9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7" s="113">
        <f ca="1">TblMili[[#This Row],[Mystic bonus]]*TblMili[[#This Row],[Unit 3]]+TblMili[[#This Row],[Druid bonus]]*TblMili[[#This Row],[Unit 4]]</f>
        <v>4836.25</v>
      </c>
      <c r="CM97" s="201">
        <f ca="1">MIN(6,TblMili[[#This Row],[Dryad]]+Races!$F$35)*1.8 +  IF(TblMili[[#This Row],[Dryad]]+Races!$F$35&gt;6,(TblMili[[#This Row],[Dryad]]+Races!$F$35-6)*0.2,0) - Races!$I$19</f>
        <v>3.7500000000000009</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5.4</v>
      </c>
      <c r="CT97" s="201">
        <f ca="1">1.8 * MIN(MAX(TblMili[[#This Row],[Ice Elemental]]+Races!$E$71,Races!$F$71),6)  +  0.45 * MIN(MIN(TblMili[[#This Row],[Ice Elemental]]+Races!$E$71,Races!$F$71),6)  +  0.2 * ( MAX(TblMili[[#This Row],[Ice Elemental]]+Races!$E$71-6,0) + MAX(Races!$F$71-6,0) )  -  Races!$I$71</f>
        <v>0.10500000000000043</v>
      </c>
      <c r="CU97" s="113">
        <f ca="1">TblMili[[#This Row],[Frost Mage bonus]]*TblMili[[#This Row],[Unit 3]]+TblMili[[#This Row],[Ice Elemental bonus]]*TblMili[[#This Row],[Unit 4]]</f>
        <v>738.00000000000023</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7" s="184"/>
      <c r="DA97" s="326">
        <f ca="1">(TblMili[[#This Row],[Wizards]]+2*TblMili[[#This Row],[Archmages]])/TblConstr[[#This Row],[Land]]</f>
        <v>5.8333333333333334E-2</v>
      </c>
      <c r="DB97" s="326">
        <f ca="1">TblMili[[#This Row],[Raw (2)]]*(1+race_wizard_strength+IF(TblMili[[#This Row],[Hour]]&gt;72,tech_magical_weaponry_wiz*TblTech[[#This Row],[3-5]],0))</f>
        <v>5.8333333333333334E-2</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4045</v>
      </c>
      <c r="C98" s="203">
        <f ca="1">TblPop[[#This Row],[Military%]]</f>
        <v>0.40600220817022986</v>
      </c>
      <c r="D98" s="184"/>
      <c r="E98" s="49">
        <f ca="1">OFFSET(TblMili[[#This Row],[Unit 1]],-1,0) + OFFSET(TblMili[[#This Row],[Train Unit 1]],-9,0) - TblMili[[#This Row],[Release Unit 1]]</f>
        <v>0</v>
      </c>
      <c r="F98" s="49">
        <f ca="1">OFFSET(TblMili[[#This Row],[Unit 2]],-1,0) + OFFSET(TblMili[[#This Row],[Train Unit 2]],-9,0)-TblMili[[#This Row],[Release Unit 2]]</f>
        <v>1081</v>
      </c>
      <c r="G98" s="49">
        <f ca="1">OFFSET(TblMili[[#This Row],[Unit 3]],-1,0) + OFFSET(TblMili[[#This Row],[Train Unit 3]],-12,0)-TblMili[[#This Row],[Release Unit 3]]</f>
        <v>125</v>
      </c>
      <c r="H98" s="49">
        <f ca="1">OFFSET(TblMili[[#This Row],[Unit 4]],-1,0) + OFFSET(TblMili[[#This Row],[Train Unit 4]],-12,0)-TblMili[[#This Row],[Release Unit 4]]</f>
        <v>600</v>
      </c>
      <c r="I98" s="49">
        <f ca="1">OFFSET(TblMili[[#This Row],[Spies]],-1,0) + OFFSET(TblMili[[#This Row],[Train Spies]],-12,0) - TblMili[[#This Row],[Release Spies]]</f>
        <v>35</v>
      </c>
      <c r="J98" s="49">
        <f ca="1">OFFSET(TblMili[[#This Row],[Wizards]],-1,0) + OFFSET(TblMili[[#This Row],[Train Wiz]],-12,0) - TblMili[[#This Row],[Release Wizards]]-TblMili[[#This Row],[Train Arch]]</f>
        <v>35</v>
      </c>
      <c r="K98" s="49">
        <f ca="1">OFFSET(TblMili[[#This Row],[Archmages]],-1,0) + OFFSET(TblMili[[#This Row],[Train Arch]],-12,0) - TblMili[[#This Row],[Release Arch]]</f>
        <v>0</v>
      </c>
      <c r="L98" s="184"/>
      <c r="M98" s="113">
        <f ca="1">TblProd[[#This Row],[Networth]]</f>
        <v>29507.5</v>
      </c>
      <c r="N98" s="184"/>
      <c r="O98" s="319">
        <f ca="1">TblMili[[#This Row],[Unit 1]]*spec_op+TblMili[[#This Row],[Unit 3]]*(elite1_base_op+dark_elf*TblMili[[#This Row],[Adept]])+TblMili[[#This Row],[Unit 4]]*(elite2_base_op+icekin*TblMili[[#This Row],[Ice Elemental]]+woodie*TblMili[[#This Row],[Druid (op)]]+orc*TblMili[[#This Row],[Orc]])+kobold*TblMili[[#This Row],[Overlords]]</f>
        <v>3850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3946.2499999999995</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8" s="319">
        <f ca="1">TblMili[[#This Row],[Non Draft]]+TblMili[[#This Row],[Draftees]]</f>
        <v>7962</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5793</v>
      </c>
      <c r="V98" s="319">
        <f ca="1">TblMili[[#This Row],[Draft]] * (1 + TblMili[[#This Row],[Mods_Def]])</f>
        <v>7962</v>
      </c>
      <c r="W98" s="319">
        <f ca="1">TblConstr[[#This Row],[Land]]</f>
        <v>600</v>
      </c>
      <c r="X98" s="322"/>
      <c r="Y98" s="327">
        <f ca="1">IF(TblMili[[#This Row],[Set]]&lt;&gt;"",TblMili[[#This Row],[Set]],OFFSET(TblMili[[#This Row],[Draftrate]],-1,0))</f>
        <v>0.9</v>
      </c>
      <c r="Z98" s="113">
        <f ca="1">OFFSET(TblMili[[#This Row],[Draftees]],-1,0)+OFFSET(TblPop[[#This Row],[Draft Growth]],-1,0) - SUM(TblMili[[#This Row],[Train Unit 1]:[Train Wiz]]) - TblMili[[#This Row],[Release Draft]] + SUM(TblMili[[#This Row],[Release Unit 1]:[Release Arch]]) -TblExplore[[#This Row],[Draftees (2)]]</f>
        <v>2169</v>
      </c>
      <c r="AA98" s="200"/>
      <c r="AB98" s="234">
        <f ca="1">(TblConstr[[#This Row],[Tot Smi]]+TblConstr[[#This Row],[Dest Smi]])/(TblConstr[[#This Row],[Land]]-TblExplore[[#This Row],[Land Bonus]]*20)</f>
        <v>0.18</v>
      </c>
      <c r="AC98" s="178"/>
      <c r="AD98" s="318">
        <f>TblMili[[#This Row],[Hour]]</f>
        <v>95</v>
      </c>
      <c r="AE98" s="179">
        <f ca="1">TblExplore[[#This Row],[Time]]</f>
        <v>44408.666666666439</v>
      </c>
      <c r="AF98" s="232"/>
      <c r="AG98" s="232"/>
      <c r="AH98" s="232"/>
      <c r="AI98" s="232"/>
      <c r="AJ98" s="232"/>
      <c r="AK98" s="232"/>
      <c r="AL98" s="232"/>
      <c r="AM98" s="184"/>
      <c r="AN98" s="113">
        <f ca="1">TblProd[[#This Row],[Platinum]]</f>
        <v>994138</v>
      </c>
      <c r="AO98" s="113">
        <f ca="1">INDEX(TblProd[[#Headers],[Lumber]]:TblProd[[#This Row],[Ore]],COUNTA(TblProd[[#Headers],[Lumber]]:TblProd[[#This Row],[Lumber]]),MATCH(Military!$AO$2,TblProd[[#Headers],[Lumber]:[Ore]],0))</f>
        <v>58790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44408.666666666439</v>
      </c>
      <c r="AT98" s="113">
        <f ca="1">TblMili[[#This Row],[Draftees]]</f>
        <v>2169</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176</v>
      </c>
      <c r="BG98" s="113">
        <f ca="1">ROUNDUP(IF(race="Gnome",1,(1-MIN(TblMili[[#This Row],[Smithies]]*smithy_bonus,smithy_bonus_cap) + tech_3_5*TblTech[[#This Row],[3-5]] + tech_5_3*TblTech[[#This Row],[5-3]] + tech_5_5*TblTech[[#This Row],[5-5]]))*spec_op_ore,0)</f>
        <v>16</v>
      </c>
      <c r="BH98" s="113">
        <f ca="1">ROUNDUP((1-MIN(TblMili[[#This Row],[Smithies]]*smithy_bonus,smithy_bonus_cap) + tech_3_5*TblTech[[#This Row],[3-5]] + tech_5_3*TblTech[[#This Row],[5-3]] + tech_5_5*TblTech[[#This Row],[5-5]])*spec_dp_plat,0)</f>
        <v>176</v>
      </c>
      <c r="BI98" s="113">
        <f ca="1">ROUNDUP(IF(race="Gnome",1,(1-MIN(TblMili[[#This Row],[Smithies]]*smithy_bonus,smithy_bonus_cap) + tech_3_5*TblTech[[#This Row],[3-5]] + tech_5_3*TblTech[[#This Row],[5-3]] + tech_5_5*TblTech[[#This Row],[5-5]]))*spec_dp_ore,0)</f>
        <v>10</v>
      </c>
      <c r="BJ98" s="113">
        <f ca="1">ROUNDUP((1-MIN(TblMili[[#This Row],[Smithies]]*smithy_bonus,smithy_bonus_cap) + tech_3_5*TblTech[[#This Row],[3-5]] + tech_5_3*TblTech[[#This Row],[5-3]] + tech_5_5*TblTech[[#This Row],[5-5]])*elite1_plat,0)</f>
        <v>656</v>
      </c>
      <c r="BK98" s="113">
        <f ca="1">ROUNDUP(IF(race="Gnome",1,(1-MIN(TblMili[[#This Row],[Smithies]]*smithy_bonus,smithy_bonus_cap) + tech_3_5*TblTech[[#This Row],[3-5]] + tech_5_3*TblTech[[#This Row],[5-3]] + tech_5_5*TblTech[[#This Row],[5-5]]))*elite1_ore,0)</f>
        <v>48</v>
      </c>
      <c r="BL98" s="113">
        <f ca="1">ROUNDUP((1-MIN(TblMili[[#This Row],[Smithies]]*smithy_bonus,smithy_bonus_cap) + tech_3_5*TblTech[[#This Row],[3-5]] + tech_5_3*TblTech[[#This Row],[5-3]] + tech_5_5*TblTech[[#This Row],[5-5]])*elite2_plat,0)</f>
        <v>800</v>
      </c>
      <c r="BM98" s="113">
        <f ca="1">ROUNDUP(IF(race="Gnome",1,(1-MIN(TblMili[[#This Row],[Smithies]]*smithy_bonus,smithy_bonus_cap) + tech_3_5*TblTech[[#This Row],[3-5]] + tech_5_3*TblTech[[#This Row],[5-3]] + tech_5_5*TblTech[[#This Row],[5-5]]))*elite2_ore,0)</f>
        <v>64</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0.75</v>
      </c>
      <c r="BS98" s="208">
        <f ca="1">TblMili[[#This Row],[WG''s]]</f>
        <v>0</v>
      </c>
      <c r="BT98" s="323">
        <f ca="1">IF(mystic_cap="none",TblMili[[#This Row],[Hill]]/mystic_bonus,MIN(mystic_cap,TblMili[[#This Row],[Hill]]/mystic_bonus))</f>
        <v>3.75</v>
      </c>
      <c r="BU98" s="323">
        <f ca="1">IF(druid_op_cap="none",TblMili[[#This Row],[Hill]]/druid_op_bonus,MIN(druid_op_cap,TblMili[[#This Row],[Hill]]/druid_op_bonus))</f>
        <v>3.75</v>
      </c>
      <c r="BV98" s="323">
        <f ca="1">IF(druid_dp_cap="none",TblMili[[#This Row],[Hill]]/druid_dp_bonus,MIN(druid_dp_cap,TblMili[[#This Row],[Hill]]/druid_dp_bonus))</f>
        <v>3.75</v>
      </c>
      <c r="BW98" s="323">
        <f ca="1">MIN(dryad_cap,TblMili[[#This Row],[Hill]]/dryad_bonus)</f>
        <v>3.75</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250</v>
      </c>
      <c r="CB98" s="124">
        <f ca="1">MIN(TblMili[[#This Row],[Unit 1]],TblMili[[#This Row],[Unit 4]])*2</f>
        <v>0</v>
      </c>
      <c r="CC98" s="323">
        <f ca="1">MIN(frost_mage_cap,TblMili[[#This Row],[Hill]]/frost_mage_bonus)</f>
        <v>3</v>
      </c>
      <c r="CD98" s="59">
        <f ca="1">MIN(ice_elem_cap,TblMili[[#This Row],[Raw (2)]]*ice_elem_bonus)</f>
        <v>5.8333333333333334E-2</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3.95</v>
      </c>
      <c r="CK9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8" s="113">
        <f ca="1">TblMili[[#This Row],[Mystic bonus]]*TblMili[[#This Row],[Unit 3]]+TblMili[[#This Row],[Druid bonus]]*TblMili[[#This Row],[Unit 4]]</f>
        <v>4836.25</v>
      </c>
      <c r="CM98" s="201">
        <f ca="1">MIN(6,TblMili[[#This Row],[Dryad]]+Races!$F$35)*1.8 +  IF(TblMili[[#This Row],[Dryad]]+Races!$F$35&gt;6,(TblMili[[#This Row],[Dryad]]+Races!$F$35-6)*0.2,0) - Races!$I$19</f>
        <v>3.7500000000000009</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5.4</v>
      </c>
      <c r="CT98" s="201">
        <f ca="1">1.8 * MIN(MAX(TblMili[[#This Row],[Ice Elemental]]+Races!$E$71,Races!$F$71),6)  +  0.45 * MIN(MIN(TblMili[[#This Row],[Ice Elemental]]+Races!$E$71,Races!$F$71),6)  +  0.2 * ( MAX(TblMili[[#This Row],[Ice Elemental]]+Races!$E$71-6,0) + MAX(Races!$F$71-6,0) )  -  Races!$I$71</f>
        <v>0.10500000000000043</v>
      </c>
      <c r="CU98" s="113">
        <f ca="1">TblMili[[#This Row],[Frost Mage bonus]]*TblMili[[#This Row],[Unit 3]]+TblMili[[#This Row],[Ice Elemental bonus]]*TblMili[[#This Row],[Unit 4]]</f>
        <v>738.00000000000023</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8" s="184"/>
      <c r="DA98" s="326">
        <f ca="1">(TblMili[[#This Row],[Wizards]]+2*TblMili[[#This Row],[Archmages]])/TblConstr[[#This Row],[Land]]</f>
        <v>5.8333333333333334E-2</v>
      </c>
      <c r="DB98" s="326">
        <f ca="1">TblMili[[#This Row],[Raw (2)]]*(1+race_wizard_strength+IF(TblMili[[#This Row],[Hour]]&gt;72,tech_magical_weaponry_wiz*TblTech[[#This Row],[3-5]],0))</f>
        <v>5.8333333333333334E-2</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4104</v>
      </c>
      <c r="C99" s="203">
        <f ca="1">TblPop[[#This Row],[Military%]]</f>
        <v>0.41192411924119243</v>
      </c>
      <c r="D99" s="184"/>
      <c r="E99" s="49">
        <f ca="1">OFFSET(TblMili[[#This Row],[Unit 1]],-1,0) + OFFSET(TblMili[[#This Row],[Train Unit 1]],-9,0) - TblMili[[#This Row],[Release Unit 1]]</f>
        <v>0</v>
      </c>
      <c r="F99" s="49">
        <f ca="1">OFFSET(TblMili[[#This Row],[Unit 2]],-1,0) + OFFSET(TblMili[[#This Row],[Train Unit 2]],-9,0)-TblMili[[#This Row],[Release Unit 2]]</f>
        <v>1081</v>
      </c>
      <c r="G99" s="49">
        <f ca="1">OFFSET(TblMili[[#This Row],[Unit 3]],-1,0) + OFFSET(TblMili[[#This Row],[Train Unit 3]],-12,0)-TblMili[[#This Row],[Release Unit 3]]</f>
        <v>125</v>
      </c>
      <c r="H99" s="49">
        <f ca="1">OFFSET(TblMili[[#This Row],[Unit 4]],-1,0) + OFFSET(TblMili[[#This Row],[Train Unit 4]],-12,0)-TblMili[[#This Row],[Release Unit 4]]</f>
        <v>600</v>
      </c>
      <c r="I99" s="49">
        <f ca="1">OFFSET(TblMili[[#This Row],[Spies]],-1,0) + OFFSET(TblMili[[#This Row],[Train Spies]],-12,0) - TblMili[[#This Row],[Release Spies]]</f>
        <v>35</v>
      </c>
      <c r="J99" s="49">
        <f ca="1">OFFSET(TblMili[[#This Row],[Wizards]],-1,0) + OFFSET(TblMili[[#This Row],[Train Wiz]],-12,0) - TblMili[[#This Row],[Release Wizards]]-TblMili[[#This Row],[Train Arch]]</f>
        <v>35</v>
      </c>
      <c r="K99" s="49">
        <f ca="1">OFFSET(TblMili[[#This Row],[Archmages]],-1,0) + OFFSET(TblMili[[#This Row],[Train Arch]],-12,0) - TblMili[[#This Row],[Release Arch]]</f>
        <v>0</v>
      </c>
      <c r="L99" s="184"/>
      <c r="M99" s="113">
        <f ca="1">TblProd[[#This Row],[Networth]]</f>
        <v>29507.5</v>
      </c>
      <c r="N99" s="184"/>
      <c r="O99" s="319">
        <f ca="1">TblMili[[#This Row],[Unit 1]]*spec_op+TblMili[[#This Row],[Unit 3]]*(elite1_base_op+dark_elf*TblMili[[#This Row],[Adept]])+TblMili[[#This Row],[Unit 4]]*(elite2_base_op+icekin*TblMili[[#This Row],[Ice Elemental]]+woodie*TblMili[[#This Row],[Druid (op)]]+orc*TblMili[[#This Row],[Orc]])+kobold*TblMili[[#This Row],[Overlords]]</f>
        <v>3850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3946.2499999999995</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9" s="319">
        <f ca="1">TblMili[[#This Row],[Non Draft]]+TblMili[[#This Row],[Draftees]]</f>
        <v>8021</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5793</v>
      </c>
      <c r="V99" s="319">
        <f ca="1">TblMili[[#This Row],[Draft]] * (1 + TblMili[[#This Row],[Mods_Def]])</f>
        <v>8021</v>
      </c>
      <c r="W99" s="319">
        <f ca="1">TblConstr[[#This Row],[Land]]</f>
        <v>600</v>
      </c>
      <c r="X99" s="322"/>
      <c r="Y99" s="327">
        <f ca="1">IF(TblMili[[#This Row],[Set]]&lt;&gt;"",TblMili[[#This Row],[Set]],OFFSET(TblMili[[#This Row],[Draftrate]],-1,0))</f>
        <v>0.9</v>
      </c>
      <c r="Z99" s="113">
        <f ca="1">OFFSET(TblMili[[#This Row],[Draftees]],-1,0)+OFFSET(TblPop[[#This Row],[Draft Growth]],-1,0) - SUM(TblMili[[#This Row],[Train Unit 1]:[Train Wiz]]) - TblMili[[#This Row],[Release Draft]] + SUM(TblMili[[#This Row],[Release Unit 1]:[Release Arch]]) -TblExplore[[#This Row],[Draftees (2)]]</f>
        <v>2228</v>
      </c>
      <c r="AA99" s="200"/>
      <c r="AB99" s="234">
        <f ca="1">(TblConstr[[#This Row],[Tot Smi]]+TblConstr[[#This Row],[Dest Smi]])/(TblConstr[[#This Row],[Land]]-TblExplore[[#This Row],[Land Bonus]]*20)</f>
        <v>0.18</v>
      </c>
      <c r="AC99" s="178"/>
      <c r="AD99" s="318">
        <f>TblMili[[#This Row],[Hour]]</f>
        <v>96</v>
      </c>
      <c r="AE99" s="179">
        <f ca="1">TblExplore[[#This Row],[Time]]</f>
        <v>44408.708333333103</v>
      </c>
      <c r="AF99" s="232"/>
      <c r="AG99" s="232"/>
      <c r="AH99" s="232"/>
      <c r="AI99" s="232"/>
      <c r="AJ99" s="232"/>
      <c r="AK99" s="232"/>
      <c r="AL99" s="232"/>
      <c r="AM99" s="184"/>
      <c r="AN99" s="113">
        <f ca="1">TblProd[[#This Row],[Platinum]]</f>
        <v>1021996</v>
      </c>
      <c r="AO99" s="113">
        <f ca="1">INDEX(TblProd[[#Headers],[Lumber]]:TblProd[[#This Row],[Ore]],COUNTA(TblProd[[#Headers],[Lumber]]:TblProd[[#This Row],[Lumber]]),MATCH(Military!$AO$2,TblProd[[#Headers],[Lumber]:[Ore]],0))</f>
        <v>60590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44408.708333333103</v>
      </c>
      <c r="AT99" s="113">
        <f ca="1">TblMili[[#This Row],[Draftees]]</f>
        <v>2228</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176</v>
      </c>
      <c r="BG99" s="113">
        <f ca="1">ROUNDUP(IF(race="Gnome",1,(1-MIN(TblMili[[#This Row],[Smithies]]*smithy_bonus,smithy_bonus_cap) + tech_3_5*TblTech[[#This Row],[3-5]] + tech_5_3*TblTech[[#This Row],[5-3]] + tech_5_5*TblTech[[#This Row],[5-5]]))*spec_op_ore,0)</f>
        <v>16</v>
      </c>
      <c r="BH99" s="113">
        <f ca="1">ROUNDUP((1-MIN(TblMili[[#This Row],[Smithies]]*smithy_bonus,smithy_bonus_cap) + tech_3_5*TblTech[[#This Row],[3-5]] + tech_5_3*TblTech[[#This Row],[5-3]] + tech_5_5*TblTech[[#This Row],[5-5]])*spec_dp_plat,0)</f>
        <v>176</v>
      </c>
      <c r="BI99" s="113">
        <f ca="1">ROUNDUP(IF(race="Gnome",1,(1-MIN(TblMili[[#This Row],[Smithies]]*smithy_bonus,smithy_bonus_cap) + tech_3_5*TblTech[[#This Row],[3-5]] + tech_5_3*TblTech[[#This Row],[5-3]] + tech_5_5*TblTech[[#This Row],[5-5]]))*spec_dp_ore,0)</f>
        <v>10</v>
      </c>
      <c r="BJ99" s="113">
        <f ca="1">ROUNDUP((1-MIN(TblMili[[#This Row],[Smithies]]*smithy_bonus,smithy_bonus_cap) + tech_3_5*TblTech[[#This Row],[3-5]] + tech_5_3*TblTech[[#This Row],[5-3]] + tech_5_5*TblTech[[#This Row],[5-5]])*elite1_plat,0)</f>
        <v>656</v>
      </c>
      <c r="BK99" s="113">
        <f ca="1">ROUNDUP(IF(race="Gnome",1,(1-MIN(TblMili[[#This Row],[Smithies]]*smithy_bonus,smithy_bonus_cap) + tech_3_5*TblTech[[#This Row],[3-5]] + tech_5_3*TblTech[[#This Row],[5-3]] + tech_5_5*TblTech[[#This Row],[5-5]]))*elite1_ore,0)</f>
        <v>48</v>
      </c>
      <c r="BL99" s="113">
        <f ca="1">ROUNDUP((1-MIN(TblMili[[#This Row],[Smithies]]*smithy_bonus,smithy_bonus_cap) + tech_3_5*TblTech[[#This Row],[3-5]] + tech_5_3*TblTech[[#This Row],[5-3]] + tech_5_5*TblTech[[#This Row],[5-5]])*elite2_plat,0)</f>
        <v>800</v>
      </c>
      <c r="BM99" s="113">
        <f ca="1">ROUNDUP(IF(race="Gnome",1,(1-MIN(TblMili[[#This Row],[Smithies]]*smithy_bonus,smithy_bonus_cap) + tech_3_5*TblTech[[#This Row],[3-5]] + tech_5_3*TblTech[[#This Row],[5-3]] + tech_5_5*TblTech[[#This Row],[5-5]]))*elite2_ore,0)</f>
        <v>64</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0.75</v>
      </c>
      <c r="BS99" s="208">
        <f ca="1">TblMili[[#This Row],[WG''s]]</f>
        <v>0</v>
      </c>
      <c r="BT99" s="323">
        <f ca="1">IF(mystic_cap="none",TblMili[[#This Row],[Hill]]/mystic_bonus,MIN(mystic_cap,TblMili[[#This Row],[Hill]]/mystic_bonus))</f>
        <v>3.75</v>
      </c>
      <c r="BU99" s="323">
        <f ca="1">IF(druid_op_cap="none",TblMili[[#This Row],[Hill]]/druid_op_bonus,MIN(druid_op_cap,TblMili[[#This Row],[Hill]]/druid_op_bonus))</f>
        <v>3.75</v>
      </c>
      <c r="BV99" s="323">
        <f ca="1">IF(druid_dp_cap="none",TblMili[[#This Row],[Hill]]/druid_dp_bonus,MIN(druid_dp_cap,TblMili[[#This Row],[Hill]]/druid_dp_bonus))</f>
        <v>3.75</v>
      </c>
      <c r="BW99" s="323">
        <f ca="1">MIN(dryad_cap,TblMili[[#This Row],[Hill]]/dryad_bonus)</f>
        <v>3.75</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250</v>
      </c>
      <c r="CB99" s="124">
        <f ca="1">MIN(TblMili[[#This Row],[Unit 1]],TblMili[[#This Row],[Unit 4]])*2</f>
        <v>0</v>
      </c>
      <c r="CC99" s="323">
        <f ca="1">MIN(frost_mage_cap,TblMili[[#This Row],[Hill]]/frost_mage_bonus)</f>
        <v>3</v>
      </c>
      <c r="CD99" s="59">
        <f ca="1">MIN(ice_elem_cap,TblMili[[#This Row],[Raw (2)]]*ice_elem_bonus)</f>
        <v>5.8333333333333334E-2</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3.95</v>
      </c>
      <c r="CK9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9" s="113">
        <f ca="1">TblMili[[#This Row],[Mystic bonus]]*TblMili[[#This Row],[Unit 3]]+TblMili[[#This Row],[Druid bonus]]*TblMili[[#This Row],[Unit 4]]</f>
        <v>4836.25</v>
      </c>
      <c r="CM99" s="201">
        <f ca="1">MIN(6,TblMili[[#This Row],[Dryad]]+Races!$F$35)*1.8 +  IF(TblMili[[#This Row],[Dryad]]+Races!$F$35&gt;6,(TblMili[[#This Row],[Dryad]]+Races!$F$35-6)*0.2,0) - Races!$I$19</f>
        <v>3.7500000000000009</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5.4</v>
      </c>
      <c r="CT99" s="201">
        <f ca="1">1.8 * MIN(MAX(TblMili[[#This Row],[Ice Elemental]]+Races!$E$71,Races!$F$71),6)  +  0.45 * MIN(MIN(TblMili[[#This Row],[Ice Elemental]]+Races!$E$71,Races!$F$71),6)  +  0.2 * ( MAX(TblMili[[#This Row],[Ice Elemental]]+Races!$E$71-6,0) + MAX(Races!$F$71-6,0) )  -  Races!$I$71</f>
        <v>0.10500000000000043</v>
      </c>
      <c r="CU99" s="113">
        <f ca="1">TblMili[[#This Row],[Frost Mage bonus]]*TblMili[[#This Row],[Unit 3]]+TblMili[[#This Row],[Ice Elemental bonus]]*TblMili[[#This Row],[Unit 4]]</f>
        <v>738.00000000000023</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9" s="184"/>
      <c r="DA99" s="326">
        <f ca="1">(TblMili[[#This Row],[Wizards]]+2*TblMili[[#This Row],[Archmages]])/TblConstr[[#This Row],[Land]]</f>
        <v>5.8333333333333334E-2</v>
      </c>
      <c r="DB99" s="326">
        <f ca="1">TblMili[[#This Row],[Raw (2)]]*(1+race_wizard_strength+IF(TblMili[[#This Row],[Hour]]&gt;72,tech_magical_weaponry_wiz*TblTech[[#This Row],[3-5]],0))</f>
        <v>5.8333333333333334E-2</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4163</v>
      </c>
      <c r="C100" s="203">
        <f ca="1">TblPop[[#This Row],[Military%]]</f>
        <v>0.41784603031215495</v>
      </c>
      <c r="D100" s="184"/>
      <c r="E100" s="49">
        <f ca="1">OFFSET(TblMili[[#This Row],[Unit 1]],-1,0) + OFFSET(TblMili[[#This Row],[Train Unit 1]],-9,0) - TblMili[[#This Row],[Release Unit 1]]</f>
        <v>0</v>
      </c>
      <c r="F100" s="49">
        <f ca="1">OFFSET(TblMili[[#This Row],[Unit 2]],-1,0) + OFFSET(TblMili[[#This Row],[Train Unit 2]],-9,0)-TblMili[[#This Row],[Release Unit 2]]</f>
        <v>1081</v>
      </c>
      <c r="G100" s="49">
        <f ca="1">OFFSET(TblMili[[#This Row],[Unit 3]],-1,0) + OFFSET(TblMili[[#This Row],[Train Unit 3]],-12,0)-TblMili[[#This Row],[Release Unit 3]]</f>
        <v>125</v>
      </c>
      <c r="H100" s="49">
        <f ca="1">OFFSET(TblMili[[#This Row],[Unit 4]],-1,0) + OFFSET(TblMili[[#This Row],[Train Unit 4]],-12,0)-TblMili[[#This Row],[Release Unit 4]]</f>
        <v>600</v>
      </c>
      <c r="I100" s="49">
        <f ca="1">OFFSET(TblMili[[#This Row],[Spies]],-1,0) + OFFSET(TblMili[[#This Row],[Train Spies]],-12,0) - TblMili[[#This Row],[Release Spies]]</f>
        <v>35</v>
      </c>
      <c r="J100" s="49">
        <f ca="1">OFFSET(TblMili[[#This Row],[Wizards]],-1,0) + OFFSET(TblMili[[#This Row],[Train Wiz]],-12,0) - TblMili[[#This Row],[Release Wizards]]-TblMili[[#This Row],[Train Arch]]</f>
        <v>35</v>
      </c>
      <c r="K100" s="49">
        <f ca="1">OFFSET(TblMili[[#This Row],[Archmages]],-1,0) + OFFSET(TblMili[[#This Row],[Train Arch]],-12,0) - TblMili[[#This Row],[Release Arch]]</f>
        <v>0</v>
      </c>
      <c r="L100" s="184"/>
      <c r="M100" s="113">
        <f ca="1">TblProd[[#This Row],[Networth]]</f>
        <v>29507.5</v>
      </c>
      <c r="N100" s="184"/>
      <c r="O100" s="319">
        <f ca="1">TblMili[[#This Row],[Unit 1]]*spec_op+TblMili[[#This Row],[Unit 3]]*(elite1_base_op+dark_elf*TblMili[[#This Row],[Adept]])+TblMili[[#This Row],[Unit 4]]*(elite2_base_op+icekin*TblMili[[#This Row],[Ice Elemental]]+woodie*TblMili[[#This Row],[Druid (op)]]+orc*TblMili[[#This Row],[Orc]])+kobold*TblMili[[#This Row],[Overlords]]</f>
        <v>3850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3946.2499999999995</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0" s="319">
        <f ca="1">TblMili[[#This Row],[Non Draft]]+TblMili[[#This Row],[Draftees]]</f>
        <v>8080</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5793</v>
      </c>
      <c r="V100" s="319">
        <f ca="1">TblMili[[#This Row],[Draft]] * (1 + TblMili[[#This Row],[Mods_Def]])</f>
        <v>8080</v>
      </c>
      <c r="W100" s="319">
        <f ca="1">TblConstr[[#This Row],[Land]]</f>
        <v>600</v>
      </c>
      <c r="X100" s="322"/>
      <c r="Y100" s="327">
        <f ca="1">IF(TblMili[[#This Row],[Set]]&lt;&gt;"",TblMili[[#This Row],[Set]],OFFSET(TblMili[[#This Row],[Draftrate]],-1,0))</f>
        <v>0.9</v>
      </c>
      <c r="Z100" s="113">
        <f ca="1">OFFSET(TblMili[[#This Row],[Draftees]],-1,0)+OFFSET(TblPop[[#This Row],[Draft Growth]],-1,0) - SUM(TblMili[[#This Row],[Train Unit 1]:[Train Wiz]]) - TblMili[[#This Row],[Release Draft]] + SUM(TblMili[[#This Row],[Release Unit 1]:[Release Arch]]) -TblExplore[[#This Row],[Draftees (2)]]</f>
        <v>2287</v>
      </c>
      <c r="AA100" s="200"/>
      <c r="AB100" s="234">
        <f ca="1">(TblConstr[[#This Row],[Tot Smi]]+TblConstr[[#This Row],[Dest Smi]])/(TblConstr[[#This Row],[Land]]-TblExplore[[#This Row],[Land Bonus]]*20)</f>
        <v>0.18</v>
      </c>
      <c r="AC100" s="178"/>
      <c r="AD100" s="318">
        <f>TblMili[[#This Row],[Hour]]</f>
        <v>97</v>
      </c>
      <c r="AE100" s="179">
        <f ca="1">TblExplore[[#This Row],[Time]]</f>
        <v>44408.749999999767</v>
      </c>
      <c r="AF100" s="232"/>
      <c r="AG100" s="232"/>
      <c r="AH100" s="232"/>
      <c r="AI100" s="232"/>
      <c r="AJ100" s="232"/>
      <c r="AK100" s="232"/>
      <c r="AL100" s="232"/>
      <c r="AM100" s="184"/>
      <c r="AN100" s="113">
        <f ca="1">TblProd[[#This Row],[Platinum]]</f>
        <v>1049695</v>
      </c>
      <c r="AO100" s="113">
        <f ca="1">INDEX(TblProd[[#Headers],[Lumber]]:TblProd[[#This Row],[Ore]],COUNTA(TblProd[[#Headers],[Lumber]]:TblProd[[#This Row],[Lumber]]),MATCH(Military!$AO$2,TblProd[[#Headers],[Lumber]:[Ore]],0))</f>
        <v>62390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44408.749999999767</v>
      </c>
      <c r="AT100" s="113">
        <f ca="1">TblMili[[#This Row],[Draftees]]</f>
        <v>2287</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176</v>
      </c>
      <c r="BG100" s="113">
        <f ca="1">ROUNDUP(IF(race="Gnome",1,(1-MIN(TblMili[[#This Row],[Smithies]]*smithy_bonus,smithy_bonus_cap) + tech_3_5*TblTech[[#This Row],[3-5]] + tech_5_3*TblTech[[#This Row],[5-3]] + tech_5_5*TblTech[[#This Row],[5-5]]))*spec_op_ore,0)</f>
        <v>16</v>
      </c>
      <c r="BH100" s="113">
        <f ca="1">ROUNDUP((1-MIN(TblMili[[#This Row],[Smithies]]*smithy_bonus,smithy_bonus_cap) + tech_3_5*TblTech[[#This Row],[3-5]] + tech_5_3*TblTech[[#This Row],[5-3]] + tech_5_5*TblTech[[#This Row],[5-5]])*spec_dp_plat,0)</f>
        <v>176</v>
      </c>
      <c r="BI100" s="113">
        <f ca="1">ROUNDUP(IF(race="Gnome",1,(1-MIN(TblMili[[#This Row],[Smithies]]*smithy_bonus,smithy_bonus_cap) + tech_3_5*TblTech[[#This Row],[3-5]] + tech_5_3*TblTech[[#This Row],[5-3]] + tech_5_5*TblTech[[#This Row],[5-5]]))*spec_dp_ore,0)</f>
        <v>10</v>
      </c>
      <c r="BJ100" s="113">
        <f ca="1">ROUNDUP((1-MIN(TblMili[[#This Row],[Smithies]]*smithy_bonus,smithy_bonus_cap) + tech_3_5*TblTech[[#This Row],[3-5]] + tech_5_3*TblTech[[#This Row],[5-3]] + tech_5_5*TblTech[[#This Row],[5-5]])*elite1_plat,0)</f>
        <v>656</v>
      </c>
      <c r="BK100" s="113">
        <f ca="1">ROUNDUP(IF(race="Gnome",1,(1-MIN(TblMili[[#This Row],[Smithies]]*smithy_bonus,smithy_bonus_cap) + tech_3_5*TblTech[[#This Row],[3-5]] + tech_5_3*TblTech[[#This Row],[5-3]] + tech_5_5*TblTech[[#This Row],[5-5]]))*elite1_ore,0)</f>
        <v>48</v>
      </c>
      <c r="BL100" s="113">
        <f ca="1">ROUNDUP((1-MIN(TblMili[[#This Row],[Smithies]]*smithy_bonus,smithy_bonus_cap) + tech_3_5*TblTech[[#This Row],[3-5]] + tech_5_3*TblTech[[#This Row],[5-3]] + tech_5_5*TblTech[[#This Row],[5-5]])*elite2_plat,0)</f>
        <v>800</v>
      </c>
      <c r="BM100" s="113">
        <f ca="1">ROUNDUP(IF(race="Gnome",1,(1-MIN(TblMili[[#This Row],[Smithies]]*smithy_bonus,smithy_bonus_cap) + tech_3_5*TblTech[[#This Row],[3-5]] + tech_5_3*TblTech[[#This Row],[5-3]] + tech_5_5*TblTech[[#This Row],[5-5]]))*elite2_ore,0)</f>
        <v>64</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0.75</v>
      </c>
      <c r="BS100" s="208">
        <f ca="1">TblMili[[#This Row],[WG''s]]</f>
        <v>0</v>
      </c>
      <c r="BT100" s="323">
        <f ca="1">IF(mystic_cap="none",TblMili[[#This Row],[Hill]]/mystic_bonus,MIN(mystic_cap,TblMili[[#This Row],[Hill]]/mystic_bonus))</f>
        <v>3.75</v>
      </c>
      <c r="BU100" s="323">
        <f ca="1">IF(druid_op_cap="none",TblMili[[#This Row],[Hill]]/druid_op_bonus,MIN(druid_op_cap,TblMili[[#This Row],[Hill]]/druid_op_bonus))</f>
        <v>3.75</v>
      </c>
      <c r="BV100" s="323">
        <f ca="1">IF(druid_dp_cap="none",TblMili[[#This Row],[Hill]]/druid_dp_bonus,MIN(druid_dp_cap,TblMili[[#This Row],[Hill]]/druid_dp_bonus))</f>
        <v>3.75</v>
      </c>
      <c r="BW100" s="323">
        <f ca="1">MIN(dryad_cap,TblMili[[#This Row],[Hill]]/dryad_bonus)</f>
        <v>3.75</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250</v>
      </c>
      <c r="CB100" s="124">
        <f ca="1">MIN(TblMili[[#This Row],[Unit 1]],TblMili[[#This Row],[Unit 4]])*2</f>
        <v>0</v>
      </c>
      <c r="CC100" s="323">
        <f ca="1">MIN(frost_mage_cap,TblMili[[#This Row],[Hill]]/frost_mage_bonus)</f>
        <v>3</v>
      </c>
      <c r="CD100" s="59">
        <f ca="1">MIN(ice_elem_cap,TblMili[[#This Row],[Raw (2)]]*ice_elem_bonus)</f>
        <v>5.8333333333333334E-2</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3.95</v>
      </c>
      <c r="CK10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0" s="113">
        <f ca="1">TblMili[[#This Row],[Mystic bonus]]*TblMili[[#This Row],[Unit 3]]+TblMili[[#This Row],[Druid bonus]]*TblMili[[#This Row],[Unit 4]]</f>
        <v>4836.25</v>
      </c>
      <c r="CM100" s="201">
        <f ca="1">MIN(6,TblMili[[#This Row],[Dryad]]+Races!$F$35)*1.8 +  IF(TblMili[[#This Row],[Dryad]]+Races!$F$35&gt;6,(TblMili[[#This Row],[Dryad]]+Races!$F$35-6)*0.2,0) - Races!$I$19</f>
        <v>3.7500000000000009</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5.4</v>
      </c>
      <c r="CT100" s="201">
        <f ca="1">1.8 * MIN(MAX(TblMili[[#This Row],[Ice Elemental]]+Races!$E$71,Races!$F$71),6)  +  0.45 * MIN(MIN(TblMili[[#This Row],[Ice Elemental]]+Races!$E$71,Races!$F$71),6)  +  0.2 * ( MAX(TblMili[[#This Row],[Ice Elemental]]+Races!$E$71-6,0) + MAX(Races!$F$71-6,0) )  -  Races!$I$71</f>
        <v>0.10500000000000043</v>
      </c>
      <c r="CU100" s="113">
        <f ca="1">TblMili[[#This Row],[Frost Mage bonus]]*TblMili[[#This Row],[Unit 3]]+TblMili[[#This Row],[Ice Elemental bonus]]*TblMili[[#This Row],[Unit 4]]</f>
        <v>738.00000000000023</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0" s="184"/>
      <c r="DA100" s="326">
        <f ca="1">(TblMili[[#This Row],[Wizards]]+2*TblMili[[#This Row],[Archmages]])/TblConstr[[#This Row],[Land]]</f>
        <v>5.8333333333333334E-2</v>
      </c>
      <c r="DB100" s="326">
        <f ca="1">TblMili[[#This Row],[Raw (2)]]*(1+race_wizard_strength+IF(TblMili[[#This Row],[Hour]]&gt;72,tech_magical_weaponry_wiz*TblTech[[#This Row],[3-5]],0))</f>
        <v>5.8333333333333334E-2</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4221</v>
      </c>
      <c r="C101" s="203">
        <f ca="1">TblPop[[#This Row],[Military%]]</f>
        <v>0.42366757000903343</v>
      </c>
      <c r="D101" s="184"/>
      <c r="E101" s="49">
        <f ca="1">OFFSET(TblMili[[#This Row],[Unit 1]],-1,0) + OFFSET(TblMili[[#This Row],[Train Unit 1]],-9,0) - TblMili[[#This Row],[Release Unit 1]]</f>
        <v>0</v>
      </c>
      <c r="F101" s="49">
        <f ca="1">OFFSET(TblMili[[#This Row],[Unit 2]],-1,0) + OFFSET(TblMili[[#This Row],[Train Unit 2]],-9,0)-TblMili[[#This Row],[Release Unit 2]]</f>
        <v>1081</v>
      </c>
      <c r="G101" s="49">
        <f ca="1">OFFSET(TblMili[[#This Row],[Unit 3]],-1,0) + OFFSET(TblMili[[#This Row],[Train Unit 3]],-12,0)-TblMili[[#This Row],[Release Unit 3]]</f>
        <v>125</v>
      </c>
      <c r="H101" s="49">
        <f ca="1">OFFSET(TblMili[[#This Row],[Unit 4]],-1,0) + OFFSET(TblMili[[#This Row],[Train Unit 4]],-12,0)-TblMili[[#This Row],[Release Unit 4]]</f>
        <v>600</v>
      </c>
      <c r="I101" s="49">
        <f ca="1">OFFSET(TblMili[[#This Row],[Spies]],-1,0) + OFFSET(TblMili[[#This Row],[Train Spies]],-12,0) - TblMili[[#This Row],[Release Spies]]</f>
        <v>35</v>
      </c>
      <c r="J101" s="49">
        <f ca="1">OFFSET(TblMili[[#This Row],[Wizards]],-1,0) + OFFSET(TblMili[[#This Row],[Train Wiz]],-12,0) - TblMili[[#This Row],[Release Wizards]]-TblMili[[#This Row],[Train Arch]]</f>
        <v>35</v>
      </c>
      <c r="K101" s="49">
        <f ca="1">OFFSET(TblMili[[#This Row],[Archmages]],-1,0) + OFFSET(TblMili[[#This Row],[Train Arch]],-12,0) - TblMili[[#This Row],[Release Arch]]</f>
        <v>0</v>
      </c>
      <c r="L101" s="184"/>
      <c r="M101" s="113">
        <f ca="1">TblProd[[#This Row],[Networth]]</f>
        <v>29507.5</v>
      </c>
      <c r="N101" s="184"/>
      <c r="O101" s="319">
        <f ca="1">TblMili[[#This Row],[Unit 1]]*spec_op+TblMili[[#This Row],[Unit 3]]*(elite1_base_op+dark_elf*TblMili[[#This Row],[Adept]])+TblMili[[#This Row],[Unit 4]]*(elite2_base_op+icekin*TblMili[[#This Row],[Ice Elemental]]+woodie*TblMili[[#This Row],[Druid (op)]]+orc*TblMili[[#This Row],[Orc]])+kobold*TblMili[[#This Row],[Overlords]]</f>
        <v>3850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3946.2499999999995</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1" s="319">
        <f ca="1">TblMili[[#This Row],[Non Draft]]+TblMili[[#This Row],[Draftees]]</f>
        <v>8138</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5793</v>
      </c>
      <c r="V101" s="319">
        <f ca="1">TblMili[[#This Row],[Draft]] * (1 + TblMili[[#This Row],[Mods_Def]])</f>
        <v>8138</v>
      </c>
      <c r="W101" s="319">
        <f ca="1">TblConstr[[#This Row],[Land]]</f>
        <v>600</v>
      </c>
      <c r="X101" s="322"/>
      <c r="Y101" s="327">
        <f ca="1">IF(TblMili[[#This Row],[Set]]&lt;&gt;"",TblMili[[#This Row],[Set]],OFFSET(TblMili[[#This Row],[Draftrate]],-1,0))</f>
        <v>0.9</v>
      </c>
      <c r="Z101" s="113">
        <f ca="1">OFFSET(TblMili[[#This Row],[Draftees]],-1,0)+OFFSET(TblPop[[#This Row],[Draft Growth]],-1,0) - SUM(TblMili[[#This Row],[Train Unit 1]:[Train Wiz]]) - TblMili[[#This Row],[Release Draft]] + SUM(TblMili[[#This Row],[Release Unit 1]:[Release Arch]]) -TblExplore[[#This Row],[Draftees (2)]]</f>
        <v>2345</v>
      </c>
      <c r="AA101" s="200"/>
      <c r="AB101" s="234">
        <f ca="1">(TblConstr[[#This Row],[Tot Smi]]+TblConstr[[#This Row],[Dest Smi]])/(TblConstr[[#This Row],[Land]]-TblExplore[[#This Row],[Land Bonus]]*20)</f>
        <v>0.18</v>
      </c>
      <c r="AC101" s="178"/>
      <c r="AD101" s="318">
        <f>TblMili[[#This Row],[Hour]]</f>
        <v>98</v>
      </c>
      <c r="AE101" s="179">
        <f ca="1">TblExplore[[#This Row],[Time]]</f>
        <v>44408.791666666431</v>
      </c>
      <c r="AF101" s="232"/>
      <c r="AG101" s="232"/>
      <c r="AH101" s="232"/>
      <c r="AI101" s="232"/>
      <c r="AJ101" s="232"/>
      <c r="AK101" s="232"/>
      <c r="AL101" s="232"/>
      <c r="AM101" s="184"/>
      <c r="AN101" s="113">
        <f ca="1">TblProd[[#This Row],[Platinum]]</f>
        <v>1077235</v>
      </c>
      <c r="AO101" s="113">
        <f ca="1">INDEX(TblProd[[#Headers],[Lumber]]:TblProd[[#This Row],[Ore]],COUNTA(TblProd[[#Headers],[Lumber]]:TblProd[[#This Row],[Lumber]]),MATCH(Military!$AO$2,TblProd[[#Headers],[Lumber]:[Ore]],0))</f>
        <v>64190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44408.791666666431</v>
      </c>
      <c r="AT101" s="113">
        <f ca="1">TblMili[[#This Row],[Draftees]]</f>
        <v>2345</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176</v>
      </c>
      <c r="BG101" s="113">
        <f ca="1">ROUNDUP(IF(race="Gnome",1,(1-MIN(TblMili[[#This Row],[Smithies]]*smithy_bonus,smithy_bonus_cap) + tech_3_5*TblTech[[#This Row],[3-5]] + tech_5_3*TblTech[[#This Row],[5-3]] + tech_5_5*TblTech[[#This Row],[5-5]]))*spec_op_ore,0)</f>
        <v>16</v>
      </c>
      <c r="BH101" s="113">
        <f ca="1">ROUNDUP((1-MIN(TblMili[[#This Row],[Smithies]]*smithy_bonus,smithy_bonus_cap) + tech_3_5*TblTech[[#This Row],[3-5]] + tech_5_3*TblTech[[#This Row],[5-3]] + tech_5_5*TblTech[[#This Row],[5-5]])*spec_dp_plat,0)</f>
        <v>176</v>
      </c>
      <c r="BI101" s="113">
        <f ca="1">ROUNDUP(IF(race="Gnome",1,(1-MIN(TblMili[[#This Row],[Smithies]]*smithy_bonus,smithy_bonus_cap) + tech_3_5*TblTech[[#This Row],[3-5]] + tech_5_3*TblTech[[#This Row],[5-3]] + tech_5_5*TblTech[[#This Row],[5-5]]))*spec_dp_ore,0)</f>
        <v>10</v>
      </c>
      <c r="BJ101" s="113">
        <f ca="1">ROUNDUP((1-MIN(TblMili[[#This Row],[Smithies]]*smithy_bonus,smithy_bonus_cap) + tech_3_5*TblTech[[#This Row],[3-5]] + tech_5_3*TblTech[[#This Row],[5-3]] + tech_5_5*TblTech[[#This Row],[5-5]])*elite1_plat,0)</f>
        <v>656</v>
      </c>
      <c r="BK101" s="113">
        <f ca="1">ROUNDUP(IF(race="Gnome",1,(1-MIN(TblMili[[#This Row],[Smithies]]*smithy_bonus,smithy_bonus_cap) + tech_3_5*TblTech[[#This Row],[3-5]] + tech_5_3*TblTech[[#This Row],[5-3]] + tech_5_5*TblTech[[#This Row],[5-5]]))*elite1_ore,0)</f>
        <v>48</v>
      </c>
      <c r="BL101" s="113">
        <f ca="1">ROUNDUP((1-MIN(TblMili[[#This Row],[Smithies]]*smithy_bonus,smithy_bonus_cap) + tech_3_5*TblTech[[#This Row],[3-5]] + tech_5_3*TblTech[[#This Row],[5-3]] + tech_5_5*TblTech[[#This Row],[5-5]])*elite2_plat,0)</f>
        <v>800</v>
      </c>
      <c r="BM101" s="113">
        <f ca="1">ROUNDUP(IF(race="Gnome",1,(1-MIN(TblMili[[#This Row],[Smithies]]*smithy_bonus,smithy_bonus_cap) + tech_3_5*TblTech[[#This Row],[3-5]] + tech_5_3*TblTech[[#This Row],[5-3]] + tech_5_5*TblTech[[#This Row],[5-5]]))*elite2_ore,0)</f>
        <v>64</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0.75</v>
      </c>
      <c r="BS101" s="208">
        <f ca="1">TblMili[[#This Row],[WG''s]]</f>
        <v>0</v>
      </c>
      <c r="BT101" s="323">
        <f ca="1">IF(mystic_cap="none",TblMili[[#This Row],[Hill]]/mystic_bonus,MIN(mystic_cap,TblMili[[#This Row],[Hill]]/mystic_bonus))</f>
        <v>3.75</v>
      </c>
      <c r="BU101" s="323">
        <f ca="1">IF(druid_op_cap="none",TblMili[[#This Row],[Hill]]/druid_op_bonus,MIN(druid_op_cap,TblMili[[#This Row],[Hill]]/druid_op_bonus))</f>
        <v>3.75</v>
      </c>
      <c r="BV101" s="323">
        <f ca="1">IF(druid_dp_cap="none",TblMili[[#This Row],[Hill]]/druid_dp_bonus,MIN(druid_dp_cap,TblMili[[#This Row],[Hill]]/druid_dp_bonus))</f>
        <v>3.75</v>
      </c>
      <c r="BW101" s="323">
        <f ca="1">MIN(dryad_cap,TblMili[[#This Row],[Hill]]/dryad_bonus)</f>
        <v>3.75</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250</v>
      </c>
      <c r="CB101" s="124">
        <f ca="1">MIN(TblMili[[#This Row],[Unit 1]],TblMili[[#This Row],[Unit 4]])*2</f>
        <v>0</v>
      </c>
      <c r="CC101" s="323">
        <f ca="1">MIN(frost_mage_cap,TblMili[[#This Row],[Hill]]/frost_mage_bonus)</f>
        <v>3</v>
      </c>
      <c r="CD101" s="59">
        <f ca="1">MIN(ice_elem_cap,TblMili[[#This Row],[Raw (2)]]*ice_elem_bonus)</f>
        <v>5.8333333333333334E-2</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3.95</v>
      </c>
      <c r="CK10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1" s="113">
        <f ca="1">TblMili[[#This Row],[Mystic bonus]]*TblMili[[#This Row],[Unit 3]]+TblMili[[#This Row],[Druid bonus]]*TblMili[[#This Row],[Unit 4]]</f>
        <v>4836.25</v>
      </c>
      <c r="CM101" s="201">
        <f ca="1">MIN(6,TblMili[[#This Row],[Dryad]]+Races!$F$35)*1.8 +  IF(TblMili[[#This Row],[Dryad]]+Races!$F$35&gt;6,(TblMili[[#This Row],[Dryad]]+Races!$F$35-6)*0.2,0) - Races!$I$19</f>
        <v>3.7500000000000009</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5.4</v>
      </c>
      <c r="CT101" s="201">
        <f ca="1">1.8 * MIN(MAX(TblMili[[#This Row],[Ice Elemental]]+Races!$E$71,Races!$F$71),6)  +  0.45 * MIN(MIN(TblMili[[#This Row],[Ice Elemental]]+Races!$E$71,Races!$F$71),6)  +  0.2 * ( MAX(TblMili[[#This Row],[Ice Elemental]]+Races!$E$71-6,0) + MAX(Races!$F$71-6,0) )  -  Races!$I$71</f>
        <v>0.10500000000000043</v>
      </c>
      <c r="CU101" s="113">
        <f ca="1">TblMili[[#This Row],[Frost Mage bonus]]*TblMili[[#This Row],[Unit 3]]+TblMili[[#This Row],[Ice Elemental bonus]]*TblMili[[#This Row],[Unit 4]]</f>
        <v>738.00000000000023</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1" s="184"/>
      <c r="DA101" s="326">
        <f ca="1">(TblMili[[#This Row],[Wizards]]+2*TblMili[[#This Row],[Archmages]])/TblConstr[[#This Row],[Land]]</f>
        <v>5.8333333333333334E-2</v>
      </c>
      <c r="DB101" s="326">
        <f ca="1">TblMili[[#This Row],[Raw (2)]]*(1+race_wizard_strength+IF(TblMili[[#This Row],[Hour]]&gt;72,tech_magical_weaponry_wiz*TblTech[[#This Row],[3-5]],0))</f>
        <v>5.8333333333333334E-2</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4278</v>
      </c>
      <c r="C102" s="203">
        <f ca="1">TblPop[[#This Row],[Military%]]</f>
        <v>0.42938873833182778</v>
      </c>
      <c r="D102" s="184"/>
      <c r="E102" s="49">
        <f ca="1">OFFSET(TblMili[[#This Row],[Unit 1]],-1,0) + OFFSET(TblMili[[#This Row],[Train Unit 1]],-9,0) - TblMili[[#This Row],[Release Unit 1]]</f>
        <v>0</v>
      </c>
      <c r="F102" s="49">
        <f ca="1">OFFSET(TblMili[[#This Row],[Unit 2]],-1,0) + OFFSET(TblMili[[#This Row],[Train Unit 2]],-9,0)-TblMili[[#This Row],[Release Unit 2]]</f>
        <v>1081</v>
      </c>
      <c r="G102" s="49">
        <f ca="1">OFFSET(TblMili[[#This Row],[Unit 3]],-1,0) + OFFSET(TblMili[[#This Row],[Train Unit 3]],-12,0)-TblMili[[#This Row],[Release Unit 3]]</f>
        <v>125</v>
      </c>
      <c r="H102" s="49">
        <f ca="1">OFFSET(TblMili[[#This Row],[Unit 4]],-1,0) + OFFSET(TblMili[[#This Row],[Train Unit 4]],-12,0)-TblMili[[#This Row],[Release Unit 4]]</f>
        <v>600</v>
      </c>
      <c r="I102" s="49">
        <f ca="1">OFFSET(TblMili[[#This Row],[Spies]],-1,0) + OFFSET(TblMili[[#This Row],[Train Spies]],-12,0) - TblMili[[#This Row],[Release Spies]]</f>
        <v>35</v>
      </c>
      <c r="J102" s="49">
        <f ca="1">OFFSET(TblMili[[#This Row],[Wizards]],-1,0) + OFFSET(TblMili[[#This Row],[Train Wiz]],-12,0) - TblMili[[#This Row],[Release Wizards]]-TblMili[[#This Row],[Train Arch]]</f>
        <v>35</v>
      </c>
      <c r="K102" s="49">
        <f ca="1">OFFSET(TblMili[[#This Row],[Archmages]],-1,0) + OFFSET(TblMili[[#This Row],[Train Arch]],-12,0) - TblMili[[#This Row],[Release Arch]]</f>
        <v>0</v>
      </c>
      <c r="L102" s="184"/>
      <c r="M102" s="113">
        <f ca="1">TblProd[[#This Row],[Networth]]</f>
        <v>29507.5</v>
      </c>
      <c r="N102" s="184"/>
      <c r="O102" s="319">
        <f ca="1">TblMili[[#This Row],[Unit 1]]*spec_op+TblMili[[#This Row],[Unit 3]]*(elite1_base_op+dark_elf*TblMili[[#This Row],[Adept]])+TblMili[[#This Row],[Unit 4]]*(elite2_base_op+icekin*TblMili[[#This Row],[Ice Elemental]]+woodie*TblMili[[#This Row],[Druid (op)]]+orc*TblMili[[#This Row],[Orc]])+kobold*TblMili[[#This Row],[Overlords]]</f>
        <v>3850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3946.2499999999995</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2" s="319">
        <f ca="1">TblMili[[#This Row],[Non Draft]]+TblMili[[#This Row],[Draftees]]</f>
        <v>8195</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5793</v>
      </c>
      <c r="V102" s="319">
        <f ca="1">TblMili[[#This Row],[Draft]] * (1 + TblMili[[#This Row],[Mods_Def]])</f>
        <v>8195</v>
      </c>
      <c r="W102" s="319">
        <f ca="1">TblConstr[[#This Row],[Land]]</f>
        <v>600</v>
      </c>
      <c r="X102" s="322"/>
      <c r="Y102" s="327">
        <f ca="1">IF(TblMili[[#This Row],[Set]]&lt;&gt;"",TblMili[[#This Row],[Set]],OFFSET(TblMili[[#This Row],[Draftrate]],-1,0))</f>
        <v>0.9</v>
      </c>
      <c r="Z102" s="113">
        <f ca="1">OFFSET(TblMili[[#This Row],[Draftees]],-1,0)+OFFSET(TblPop[[#This Row],[Draft Growth]],-1,0) - SUM(TblMili[[#This Row],[Train Unit 1]:[Train Wiz]]) - TblMili[[#This Row],[Release Draft]] + SUM(TblMili[[#This Row],[Release Unit 1]:[Release Arch]]) -TblExplore[[#This Row],[Draftees (2)]]</f>
        <v>2402</v>
      </c>
      <c r="AA102" s="200"/>
      <c r="AB102" s="234">
        <f ca="1">(TblConstr[[#This Row],[Tot Smi]]+TblConstr[[#This Row],[Dest Smi]])/(TblConstr[[#This Row],[Land]]-TblExplore[[#This Row],[Land Bonus]]*20)</f>
        <v>0.18</v>
      </c>
      <c r="AC102" s="178"/>
      <c r="AD102" s="318">
        <f>TblMili[[#This Row],[Hour]]</f>
        <v>99</v>
      </c>
      <c r="AE102" s="179">
        <f ca="1">TblExplore[[#This Row],[Time]]</f>
        <v>44408.833333333096</v>
      </c>
      <c r="AF102" s="232"/>
      <c r="AG102" s="232"/>
      <c r="AH102" s="232"/>
      <c r="AI102" s="232"/>
      <c r="AJ102" s="232"/>
      <c r="AK102" s="232"/>
      <c r="AL102" s="232"/>
      <c r="AM102" s="184"/>
      <c r="AN102" s="113">
        <f ca="1">TblProd[[#This Row],[Platinum]]</f>
        <v>1104618</v>
      </c>
      <c r="AO102" s="113">
        <f ca="1">INDEX(TblProd[[#Headers],[Lumber]]:TblProd[[#This Row],[Ore]],COUNTA(TblProd[[#Headers],[Lumber]]:TblProd[[#This Row],[Lumber]]),MATCH(Military!$AO$2,TblProd[[#Headers],[Lumber]:[Ore]],0))</f>
        <v>65990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44408.833333333096</v>
      </c>
      <c r="AT102" s="113">
        <f ca="1">TblMili[[#This Row],[Draftees]]</f>
        <v>2402</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176</v>
      </c>
      <c r="BG102" s="113">
        <f ca="1">ROUNDUP(IF(race="Gnome",1,(1-MIN(TblMili[[#This Row],[Smithies]]*smithy_bonus,smithy_bonus_cap) + tech_3_5*TblTech[[#This Row],[3-5]] + tech_5_3*TblTech[[#This Row],[5-3]] + tech_5_5*TblTech[[#This Row],[5-5]]))*spec_op_ore,0)</f>
        <v>16</v>
      </c>
      <c r="BH102" s="113">
        <f ca="1">ROUNDUP((1-MIN(TblMili[[#This Row],[Smithies]]*smithy_bonus,smithy_bonus_cap) + tech_3_5*TblTech[[#This Row],[3-5]] + tech_5_3*TblTech[[#This Row],[5-3]] + tech_5_5*TblTech[[#This Row],[5-5]])*spec_dp_plat,0)</f>
        <v>176</v>
      </c>
      <c r="BI102" s="113">
        <f ca="1">ROUNDUP(IF(race="Gnome",1,(1-MIN(TblMili[[#This Row],[Smithies]]*smithy_bonus,smithy_bonus_cap) + tech_3_5*TblTech[[#This Row],[3-5]] + tech_5_3*TblTech[[#This Row],[5-3]] + tech_5_5*TblTech[[#This Row],[5-5]]))*spec_dp_ore,0)</f>
        <v>10</v>
      </c>
      <c r="BJ102" s="113">
        <f ca="1">ROUNDUP((1-MIN(TblMili[[#This Row],[Smithies]]*smithy_bonus,smithy_bonus_cap) + tech_3_5*TblTech[[#This Row],[3-5]] + tech_5_3*TblTech[[#This Row],[5-3]] + tech_5_5*TblTech[[#This Row],[5-5]])*elite1_plat,0)</f>
        <v>656</v>
      </c>
      <c r="BK102" s="113">
        <f ca="1">ROUNDUP(IF(race="Gnome",1,(1-MIN(TblMili[[#This Row],[Smithies]]*smithy_bonus,smithy_bonus_cap) + tech_3_5*TblTech[[#This Row],[3-5]] + tech_5_3*TblTech[[#This Row],[5-3]] + tech_5_5*TblTech[[#This Row],[5-5]]))*elite1_ore,0)</f>
        <v>48</v>
      </c>
      <c r="BL102" s="113">
        <f ca="1">ROUNDUP((1-MIN(TblMili[[#This Row],[Smithies]]*smithy_bonus,smithy_bonus_cap) + tech_3_5*TblTech[[#This Row],[3-5]] + tech_5_3*TblTech[[#This Row],[5-3]] + tech_5_5*TblTech[[#This Row],[5-5]])*elite2_plat,0)</f>
        <v>800</v>
      </c>
      <c r="BM102" s="113">
        <f ca="1">ROUNDUP(IF(race="Gnome",1,(1-MIN(TblMili[[#This Row],[Smithies]]*smithy_bonus,smithy_bonus_cap) + tech_3_5*TblTech[[#This Row],[3-5]] + tech_5_3*TblTech[[#This Row],[5-3]] + tech_5_5*TblTech[[#This Row],[5-5]]))*elite2_ore,0)</f>
        <v>64</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0.75</v>
      </c>
      <c r="BS102" s="208">
        <f ca="1">TblMili[[#This Row],[WG''s]]</f>
        <v>0</v>
      </c>
      <c r="BT102" s="323">
        <f ca="1">IF(mystic_cap="none",TblMili[[#This Row],[Hill]]/mystic_bonus,MIN(mystic_cap,TblMili[[#This Row],[Hill]]/mystic_bonus))</f>
        <v>3.75</v>
      </c>
      <c r="BU102" s="323">
        <f ca="1">IF(druid_op_cap="none",TblMili[[#This Row],[Hill]]/druid_op_bonus,MIN(druid_op_cap,TblMili[[#This Row],[Hill]]/druid_op_bonus))</f>
        <v>3.75</v>
      </c>
      <c r="BV102" s="323">
        <f ca="1">IF(druid_dp_cap="none",TblMili[[#This Row],[Hill]]/druid_dp_bonus,MIN(druid_dp_cap,TblMili[[#This Row],[Hill]]/druid_dp_bonus))</f>
        <v>3.75</v>
      </c>
      <c r="BW102" s="323">
        <f ca="1">MIN(dryad_cap,TblMili[[#This Row],[Hill]]/dryad_bonus)</f>
        <v>3.75</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250</v>
      </c>
      <c r="CB102" s="124">
        <f ca="1">MIN(TblMili[[#This Row],[Unit 1]],TblMili[[#This Row],[Unit 4]])*2</f>
        <v>0</v>
      </c>
      <c r="CC102" s="323">
        <f ca="1">MIN(frost_mage_cap,TblMili[[#This Row],[Hill]]/frost_mage_bonus)</f>
        <v>3</v>
      </c>
      <c r="CD102" s="59">
        <f ca="1">MIN(ice_elem_cap,TblMili[[#This Row],[Raw (2)]]*ice_elem_bonus)</f>
        <v>5.8333333333333334E-2</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3.95</v>
      </c>
      <c r="CK10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2" s="113">
        <f ca="1">TblMili[[#This Row],[Mystic bonus]]*TblMili[[#This Row],[Unit 3]]+TblMili[[#This Row],[Druid bonus]]*TblMili[[#This Row],[Unit 4]]</f>
        <v>4836.25</v>
      </c>
      <c r="CM102" s="201">
        <f ca="1">MIN(6,TblMili[[#This Row],[Dryad]]+Races!$F$35)*1.8 +  IF(TblMili[[#This Row],[Dryad]]+Races!$F$35&gt;6,(TblMili[[#This Row],[Dryad]]+Races!$F$35-6)*0.2,0) - Races!$I$19</f>
        <v>3.7500000000000009</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5.4</v>
      </c>
      <c r="CT102" s="201">
        <f ca="1">1.8 * MIN(MAX(TblMili[[#This Row],[Ice Elemental]]+Races!$E$71,Races!$F$71),6)  +  0.45 * MIN(MIN(TblMili[[#This Row],[Ice Elemental]]+Races!$E$71,Races!$F$71),6)  +  0.2 * ( MAX(TblMili[[#This Row],[Ice Elemental]]+Races!$E$71-6,0) + MAX(Races!$F$71-6,0) )  -  Races!$I$71</f>
        <v>0.10500000000000043</v>
      </c>
      <c r="CU102" s="113">
        <f ca="1">TblMili[[#This Row],[Frost Mage bonus]]*TblMili[[#This Row],[Unit 3]]+TblMili[[#This Row],[Ice Elemental bonus]]*TblMili[[#This Row],[Unit 4]]</f>
        <v>738.00000000000023</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2" s="184"/>
      <c r="DA102" s="326">
        <f ca="1">(TblMili[[#This Row],[Wizards]]+2*TblMili[[#This Row],[Archmages]])/TblConstr[[#This Row],[Land]]</f>
        <v>5.8333333333333334E-2</v>
      </c>
      <c r="DB102" s="326">
        <f ca="1">TblMili[[#This Row],[Raw (2)]]*(1+race_wizard_strength+IF(TblMili[[#This Row],[Hour]]&gt;72,tech_magical_weaponry_wiz*TblTech[[#This Row],[3-5]],0))</f>
        <v>5.8333333333333334E-2</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4335</v>
      </c>
      <c r="C103" s="203">
        <f ca="1">TblPop[[#This Row],[Military%]]</f>
        <v>0.43510990665462213</v>
      </c>
      <c r="D103" s="184"/>
      <c r="E103" s="49">
        <f ca="1">OFFSET(TblMili[[#This Row],[Unit 1]],-1,0) + OFFSET(TblMili[[#This Row],[Train Unit 1]],-9,0) - TblMili[[#This Row],[Release Unit 1]]</f>
        <v>0</v>
      </c>
      <c r="F103" s="49">
        <f ca="1">OFFSET(TblMili[[#This Row],[Unit 2]],-1,0) + OFFSET(TblMili[[#This Row],[Train Unit 2]],-9,0)-TblMili[[#This Row],[Release Unit 2]]</f>
        <v>1081</v>
      </c>
      <c r="G103" s="49">
        <f ca="1">OFFSET(TblMili[[#This Row],[Unit 3]],-1,0) + OFFSET(TblMili[[#This Row],[Train Unit 3]],-12,0)-TblMili[[#This Row],[Release Unit 3]]</f>
        <v>125</v>
      </c>
      <c r="H103" s="49">
        <f ca="1">OFFSET(TblMili[[#This Row],[Unit 4]],-1,0) + OFFSET(TblMili[[#This Row],[Train Unit 4]],-12,0)-TblMili[[#This Row],[Release Unit 4]]</f>
        <v>600</v>
      </c>
      <c r="I103" s="49">
        <f ca="1">OFFSET(TblMili[[#This Row],[Spies]],-1,0) + OFFSET(TblMili[[#This Row],[Train Spies]],-12,0) - TblMili[[#This Row],[Release Spies]]</f>
        <v>35</v>
      </c>
      <c r="J103" s="49">
        <f ca="1">OFFSET(TblMili[[#This Row],[Wizards]],-1,0) + OFFSET(TblMili[[#This Row],[Train Wiz]],-12,0) - TblMili[[#This Row],[Release Wizards]]-TblMili[[#This Row],[Train Arch]]</f>
        <v>35</v>
      </c>
      <c r="K103" s="49">
        <f ca="1">OFFSET(TblMili[[#This Row],[Archmages]],-1,0) + OFFSET(TblMili[[#This Row],[Train Arch]],-12,0) - TblMili[[#This Row],[Release Arch]]</f>
        <v>0</v>
      </c>
      <c r="L103" s="184"/>
      <c r="M103" s="113">
        <f ca="1">TblProd[[#This Row],[Networth]]</f>
        <v>29507.5</v>
      </c>
      <c r="N103" s="184"/>
      <c r="O103" s="319">
        <f ca="1">TblMili[[#This Row],[Unit 1]]*spec_op+TblMili[[#This Row],[Unit 3]]*(elite1_base_op+dark_elf*TblMili[[#This Row],[Adept]])+TblMili[[#This Row],[Unit 4]]*(elite2_base_op+icekin*TblMili[[#This Row],[Ice Elemental]]+woodie*TblMili[[#This Row],[Druid (op)]]+orc*TblMili[[#This Row],[Orc]])+kobold*TblMili[[#This Row],[Overlords]]</f>
        <v>3850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3946.2499999999995</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3" s="319">
        <f ca="1">TblMili[[#This Row],[Non Draft]]+TblMili[[#This Row],[Draftees]]</f>
        <v>8252</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5793</v>
      </c>
      <c r="V103" s="319">
        <f ca="1">TblMili[[#This Row],[Draft]] * (1 + TblMili[[#This Row],[Mods_Def]])</f>
        <v>8252</v>
      </c>
      <c r="W103" s="319">
        <f ca="1">TblConstr[[#This Row],[Land]]</f>
        <v>600</v>
      </c>
      <c r="X103" s="322"/>
      <c r="Y103" s="327">
        <f ca="1">IF(TblMili[[#This Row],[Set]]&lt;&gt;"",TblMili[[#This Row],[Set]],OFFSET(TblMili[[#This Row],[Draftrate]],-1,0))</f>
        <v>0.9</v>
      </c>
      <c r="Z103" s="113">
        <f ca="1">OFFSET(TblMili[[#This Row],[Draftees]],-1,0)+OFFSET(TblPop[[#This Row],[Draft Growth]],-1,0) - SUM(TblMili[[#This Row],[Train Unit 1]:[Train Wiz]]) - TblMili[[#This Row],[Release Draft]] + SUM(TblMili[[#This Row],[Release Unit 1]:[Release Arch]]) -TblExplore[[#This Row],[Draftees (2)]]</f>
        <v>2459</v>
      </c>
      <c r="AA103" s="200"/>
      <c r="AB103" s="234">
        <f ca="1">(TblConstr[[#This Row],[Tot Smi]]+TblConstr[[#This Row],[Dest Smi]])/(TblConstr[[#This Row],[Land]]-TblExplore[[#This Row],[Land Bonus]]*20)</f>
        <v>0.18</v>
      </c>
      <c r="AC103" s="178"/>
      <c r="AD103" s="318">
        <f>TblMili[[#This Row],[Hour]]</f>
        <v>100</v>
      </c>
      <c r="AE103" s="179">
        <f ca="1">TblExplore[[#This Row],[Time]]</f>
        <v>44408.87499999976</v>
      </c>
      <c r="AF103" s="232"/>
      <c r="AG103" s="232"/>
      <c r="AH103" s="232"/>
      <c r="AI103" s="232"/>
      <c r="AJ103" s="232"/>
      <c r="AK103" s="232"/>
      <c r="AL103" s="232"/>
      <c r="AM103" s="184"/>
      <c r="AN103" s="113">
        <f ca="1">TblProd[[#This Row],[Platinum]]</f>
        <v>1131847</v>
      </c>
      <c r="AO103" s="113">
        <f ca="1">INDEX(TblProd[[#Headers],[Lumber]]:TblProd[[#This Row],[Ore]],COUNTA(TblProd[[#Headers],[Lumber]]:TblProd[[#This Row],[Lumber]]),MATCH(Military!$AO$2,TblProd[[#Headers],[Lumber]:[Ore]],0))</f>
        <v>67790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44408.87499999976</v>
      </c>
      <c r="AT103" s="113">
        <f ca="1">TblMili[[#This Row],[Draftees]]</f>
        <v>2459</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176</v>
      </c>
      <c r="BG103" s="113">
        <f ca="1">ROUNDUP(IF(race="Gnome",1,(1-MIN(TblMili[[#This Row],[Smithies]]*smithy_bonus,smithy_bonus_cap) + tech_3_5*TblTech[[#This Row],[3-5]] + tech_5_3*TblTech[[#This Row],[5-3]] + tech_5_5*TblTech[[#This Row],[5-5]]))*spec_op_ore,0)</f>
        <v>16</v>
      </c>
      <c r="BH103" s="113">
        <f ca="1">ROUNDUP((1-MIN(TblMili[[#This Row],[Smithies]]*smithy_bonus,smithy_bonus_cap) + tech_3_5*TblTech[[#This Row],[3-5]] + tech_5_3*TblTech[[#This Row],[5-3]] + tech_5_5*TblTech[[#This Row],[5-5]])*spec_dp_plat,0)</f>
        <v>176</v>
      </c>
      <c r="BI103" s="113">
        <f ca="1">ROUNDUP(IF(race="Gnome",1,(1-MIN(TblMili[[#This Row],[Smithies]]*smithy_bonus,smithy_bonus_cap) + tech_3_5*TblTech[[#This Row],[3-5]] + tech_5_3*TblTech[[#This Row],[5-3]] + tech_5_5*TblTech[[#This Row],[5-5]]))*spec_dp_ore,0)</f>
        <v>10</v>
      </c>
      <c r="BJ103" s="113">
        <f ca="1">ROUNDUP((1-MIN(TblMili[[#This Row],[Smithies]]*smithy_bonus,smithy_bonus_cap) + tech_3_5*TblTech[[#This Row],[3-5]] + tech_5_3*TblTech[[#This Row],[5-3]] + tech_5_5*TblTech[[#This Row],[5-5]])*elite1_plat,0)</f>
        <v>656</v>
      </c>
      <c r="BK103" s="113">
        <f ca="1">ROUNDUP(IF(race="Gnome",1,(1-MIN(TblMili[[#This Row],[Smithies]]*smithy_bonus,smithy_bonus_cap) + tech_3_5*TblTech[[#This Row],[3-5]] + tech_5_3*TblTech[[#This Row],[5-3]] + tech_5_5*TblTech[[#This Row],[5-5]]))*elite1_ore,0)</f>
        <v>48</v>
      </c>
      <c r="BL103" s="113">
        <f ca="1">ROUNDUP((1-MIN(TblMili[[#This Row],[Smithies]]*smithy_bonus,smithy_bonus_cap) + tech_3_5*TblTech[[#This Row],[3-5]] + tech_5_3*TblTech[[#This Row],[5-3]] + tech_5_5*TblTech[[#This Row],[5-5]])*elite2_plat,0)</f>
        <v>800</v>
      </c>
      <c r="BM103" s="113">
        <f ca="1">ROUNDUP(IF(race="Gnome",1,(1-MIN(TblMili[[#This Row],[Smithies]]*smithy_bonus,smithy_bonus_cap) + tech_3_5*TblTech[[#This Row],[3-5]] + tech_5_3*TblTech[[#This Row],[5-3]] + tech_5_5*TblTech[[#This Row],[5-5]]))*elite2_ore,0)</f>
        <v>64</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0.75</v>
      </c>
      <c r="BS103" s="208">
        <f ca="1">TblMili[[#This Row],[WG''s]]</f>
        <v>0</v>
      </c>
      <c r="BT103" s="323">
        <f ca="1">IF(mystic_cap="none",TblMili[[#This Row],[Hill]]/mystic_bonus,MIN(mystic_cap,TblMili[[#This Row],[Hill]]/mystic_bonus))</f>
        <v>3.75</v>
      </c>
      <c r="BU103" s="323">
        <f ca="1">IF(druid_op_cap="none",TblMili[[#This Row],[Hill]]/druid_op_bonus,MIN(druid_op_cap,TblMili[[#This Row],[Hill]]/druid_op_bonus))</f>
        <v>3.75</v>
      </c>
      <c r="BV103" s="323">
        <f ca="1">IF(druid_dp_cap="none",TblMili[[#This Row],[Hill]]/druid_dp_bonus,MIN(druid_dp_cap,TblMili[[#This Row],[Hill]]/druid_dp_bonus))</f>
        <v>3.75</v>
      </c>
      <c r="BW103" s="323">
        <f ca="1">MIN(dryad_cap,TblMili[[#This Row],[Hill]]/dryad_bonus)</f>
        <v>3.75</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250</v>
      </c>
      <c r="CB103" s="124">
        <f ca="1">MIN(TblMili[[#This Row],[Unit 1]],TblMili[[#This Row],[Unit 4]])*2</f>
        <v>0</v>
      </c>
      <c r="CC103" s="323">
        <f ca="1">MIN(frost_mage_cap,TblMili[[#This Row],[Hill]]/frost_mage_bonus)</f>
        <v>3</v>
      </c>
      <c r="CD103" s="59">
        <f ca="1">MIN(ice_elem_cap,TblMili[[#This Row],[Raw (2)]]*ice_elem_bonus)</f>
        <v>5.8333333333333334E-2</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3.95</v>
      </c>
      <c r="CK10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3" s="113">
        <f ca="1">TblMili[[#This Row],[Mystic bonus]]*TblMili[[#This Row],[Unit 3]]+TblMili[[#This Row],[Druid bonus]]*TblMili[[#This Row],[Unit 4]]</f>
        <v>4836.25</v>
      </c>
      <c r="CM103" s="201">
        <f ca="1">MIN(6,TblMili[[#This Row],[Dryad]]+Races!$F$35)*1.8 +  IF(TblMili[[#This Row],[Dryad]]+Races!$F$35&gt;6,(TblMili[[#This Row],[Dryad]]+Races!$F$35-6)*0.2,0) - Races!$I$19</f>
        <v>3.7500000000000009</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5.4</v>
      </c>
      <c r="CT103" s="201">
        <f ca="1">1.8 * MIN(MAX(TblMili[[#This Row],[Ice Elemental]]+Races!$E$71,Races!$F$71),6)  +  0.45 * MIN(MIN(TblMili[[#This Row],[Ice Elemental]]+Races!$E$71,Races!$F$71),6)  +  0.2 * ( MAX(TblMili[[#This Row],[Ice Elemental]]+Races!$E$71-6,0) + MAX(Races!$F$71-6,0) )  -  Races!$I$71</f>
        <v>0.10500000000000043</v>
      </c>
      <c r="CU103" s="113">
        <f ca="1">TblMili[[#This Row],[Frost Mage bonus]]*TblMili[[#This Row],[Unit 3]]+TblMili[[#This Row],[Ice Elemental bonus]]*TblMili[[#This Row],[Unit 4]]</f>
        <v>738.00000000000023</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3" s="184"/>
      <c r="DA103" s="326">
        <f ca="1">(TblMili[[#This Row],[Wizards]]+2*TblMili[[#This Row],[Archmages]])/TblConstr[[#This Row],[Land]]</f>
        <v>5.8333333333333334E-2</v>
      </c>
      <c r="DB103" s="326">
        <f ca="1">TblMili[[#This Row],[Raw (2)]]*(1+race_wizard_strength+IF(TblMili[[#This Row],[Hour]]&gt;72,tech_magical_weaponry_wiz*TblTech[[#This Row],[3-5]],0))</f>
        <v>5.8333333333333334E-2</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4391</v>
      </c>
      <c r="C104" s="203">
        <f ca="1">TblPop[[#This Row],[Military%]]</f>
        <v>0.44073070360333233</v>
      </c>
      <c r="D104" s="184"/>
      <c r="E104" s="49">
        <f ca="1">OFFSET(TblMili[[#This Row],[Unit 1]],-1,0) + OFFSET(TblMili[[#This Row],[Train Unit 1]],-9,0) - TblMili[[#This Row],[Release Unit 1]]</f>
        <v>0</v>
      </c>
      <c r="F104" s="49">
        <f ca="1">OFFSET(TblMili[[#This Row],[Unit 2]],-1,0) + OFFSET(TblMili[[#This Row],[Train Unit 2]],-9,0)-TblMili[[#This Row],[Release Unit 2]]</f>
        <v>1081</v>
      </c>
      <c r="G104" s="49">
        <f ca="1">OFFSET(TblMili[[#This Row],[Unit 3]],-1,0) + OFFSET(TblMili[[#This Row],[Train Unit 3]],-12,0)-TblMili[[#This Row],[Release Unit 3]]</f>
        <v>125</v>
      </c>
      <c r="H104" s="49">
        <f ca="1">OFFSET(TblMili[[#This Row],[Unit 4]],-1,0) + OFFSET(TblMili[[#This Row],[Train Unit 4]],-12,0)-TblMili[[#This Row],[Release Unit 4]]</f>
        <v>600</v>
      </c>
      <c r="I104" s="49">
        <f ca="1">OFFSET(TblMili[[#This Row],[Spies]],-1,0) + OFFSET(TblMili[[#This Row],[Train Spies]],-12,0) - TblMili[[#This Row],[Release Spies]]</f>
        <v>35</v>
      </c>
      <c r="J104" s="49">
        <f ca="1">OFFSET(TblMili[[#This Row],[Wizards]],-1,0) + OFFSET(TblMili[[#This Row],[Train Wiz]],-12,0) - TblMili[[#This Row],[Release Wizards]]-TblMili[[#This Row],[Train Arch]]</f>
        <v>35</v>
      </c>
      <c r="K104" s="49">
        <f ca="1">OFFSET(TblMili[[#This Row],[Archmages]],-1,0) + OFFSET(TblMili[[#This Row],[Train Arch]],-12,0) - TblMili[[#This Row],[Release Arch]]</f>
        <v>0</v>
      </c>
      <c r="L104" s="184"/>
      <c r="M104" s="113">
        <f ca="1">TblProd[[#This Row],[Networth]]</f>
        <v>29507.5</v>
      </c>
      <c r="N104" s="184"/>
      <c r="O104" s="319">
        <f ca="1">TblMili[[#This Row],[Unit 1]]*spec_op+TblMili[[#This Row],[Unit 3]]*(elite1_base_op+dark_elf*TblMili[[#This Row],[Adept]])+TblMili[[#This Row],[Unit 4]]*(elite2_base_op+icekin*TblMili[[#This Row],[Ice Elemental]]+woodie*TblMili[[#This Row],[Druid (op)]]+orc*TblMili[[#This Row],[Orc]])+kobold*TblMili[[#This Row],[Overlords]]</f>
        <v>3850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3946.2499999999995</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4" s="319">
        <f ca="1">TblMili[[#This Row],[Non Draft]]+TblMili[[#This Row],[Draftees]]</f>
        <v>8308</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5793</v>
      </c>
      <c r="V104" s="319">
        <f ca="1">TblMili[[#This Row],[Draft]] * (1 + TblMili[[#This Row],[Mods_Def]])</f>
        <v>8308</v>
      </c>
      <c r="W104" s="319">
        <f ca="1">TblConstr[[#This Row],[Land]]</f>
        <v>600</v>
      </c>
      <c r="X104" s="322"/>
      <c r="Y104" s="327">
        <f ca="1">IF(TblMili[[#This Row],[Set]]&lt;&gt;"",TblMili[[#This Row],[Set]],OFFSET(TblMili[[#This Row],[Draftrate]],-1,0))</f>
        <v>0.9</v>
      </c>
      <c r="Z104" s="113">
        <f ca="1">OFFSET(TblMili[[#This Row],[Draftees]],-1,0)+OFFSET(TblPop[[#This Row],[Draft Growth]],-1,0) - SUM(TblMili[[#This Row],[Train Unit 1]:[Train Wiz]]) - TblMili[[#This Row],[Release Draft]] + SUM(TblMili[[#This Row],[Release Unit 1]:[Release Arch]]) -TblExplore[[#This Row],[Draftees (2)]]</f>
        <v>2515</v>
      </c>
      <c r="AA104" s="200"/>
      <c r="AB104" s="234">
        <f ca="1">(TblConstr[[#This Row],[Tot Smi]]+TblConstr[[#This Row],[Dest Smi]])/(TblConstr[[#This Row],[Land]]-TblExplore[[#This Row],[Land Bonus]]*20)</f>
        <v>0.18</v>
      </c>
      <c r="AC104" s="178"/>
      <c r="AD104" s="318">
        <f>TblMili[[#This Row],[Hour]]</f>
        <v>101</v>
      </c>
      <c r="AE104" s="179">
        <f ca="1">TblExplore[[#This Row],[Time]]</f>
        <v>44408.916666666424</v>
      </c>
      <c r="AF104" s="232"/>
      <c r="AG104" s="232"/>
      <c r="AH104" s="232"/>
      <c r="AI104" s="232"/>
      <c r="AJ104" s="232"/>
      <c r="AK104" s="232"/>
      <c r="AL104" s="232"/>
      <c r="AM104" s="184"/>
      <c r="AN104" s="113">
        <f ca="1">TblProd[[#This Row],[Platinum]]</f>
        <v>1158922</v>
      </c>
      <c r="AO104" s="113">
        <f ca="1">INDEX(TblProd[[#Headers],[Lumber]]:TblProd[[#This Row],[Ore]],COUNTA(TblProd[[#Headers],[Lumber]]:TblProd[[#This Row],[Lumber]]),MATCH(Military!$AO$2,TblProd[[#Headers],[Lumber]:[Ore]],0))</f>
        <v>69590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44408.916666666424</v>
      </c>
      <c r="AT104" s="113">
        <f ca="1">TblMili[[#This Row],[Draftees]]</f>
        <v>2515</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176</v>
      </c>
      <c r="BG104" s="113">
        <f ca="1">ROUNDUP(IF(race="Gnome",1,(1-MIN(TblMili[[#This Row],[Smithies]]*smithy_bonus,smithy_bonus_cap) + tech_3_5*TblTech[[#This Row],[3-5]] + tech_5_3*TblTech[[#This Row],[5-3]] + tech_5_5*TblTech[[#This Row],[5-5]]))*spec_op_ore,0)</f>
        <v>16</v>
      </c>
      <c r="BH104" s="113">
        <f ca="1">ROUNDUP((1-MIN(TblMili[[#This Row],[Smithies]]*smithy_bonus,smithy_bonus_cap) + tech_3_5*TblTech[[#This Row],[3-5]] + tech_5_3*TblTech[[#This Row],[5-3]] + tech_5_5*TblTech[[#This Row],[5-5]])*spec_dp_plat,0)</f>
        <v>176</v>
      </c>
      <c r="BI104" s="113">
        <f ca="1">ROUNDUP(IF(race="Gnome",1,(1-MIN(TblMili[[#This Row],[Smithies]]*smithy_bonus,smithy_bonus_cap) + tech_3_5*TblTech[[#This Row],[3-5]] + tech_5_3*TblTech[[#This Row],[5-3]] + tech_5_5*TblTech[[#This Row],[5-5]]))*spec_dp_ore,0)</f>
        <v>10</v>
      </c>
      <c r="BJ104" s="113">
        <f ca="1">ROUNDUP((1-MIN(TblMili[[#This Row],[Smithies]]*smithy_bonus,smithy_bonus_cap) + tech_3_5*TblTech[[#This Row],[3-5]] + tech_5_3*TblTech[[#This Row],[5-3]] + tech_5_5*TblTech[[#This Row],[5-5]])*elite1_plat,0)</f>
        <v>656</v>
      </c>
      <c r="BK104" s="113">
        <f ca="1">ROUNDUP(IF(race="Gnome",1,(1-MIN(TblMili[[#This Row],[Smithies]]*smithy_bonus,smithy_bonus_cap) + tech_3_5*TblTech[[#This Row],[3-5]] + tech_5_3*TblTech[[#This Row],[5-3]] + tech_5_5*TblTech[[#This Row],[5-5]]))*elite1_ore,0)</f>
        <v>48</v>
      </c>
      <c r="BL104" s="113">
        <f ca="1">ROUNDUP((1-MIN(TblMili[[#This Row],[Smithies]]*smithy_bonus,smithy_bonus_cap) + tech_3_5*TblTech[[#This Row],[3-5]] + tech_5_3*TblTech[[#This Row],[5-3]] + tech_5_5*TblTech[[#This Row],[5-5]])*elite2_plat,0)</f>
        <v>800</v>
      </c>
      <c r="BM104" s="113">
        <f ca="1">ROUNDUP(IF(race="Gnome",1,(1-MIN(TblMili[[#This Row],[Smithies]]*smithy_bonus,smithy_bonus_cap) + tech_3_5*TblTech[[#This Row],[3-5]] + tech_5_3*TblTech[[#This Row],[5-3]] + tech_5_5*TblTech[[#This Row],[5-5]]))*elite2_ore,0)</f>
        <v>64</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0.75</v>
      </c>
      <c r="BS104" s="208">
        <f ca="1">TblMili[[#This Row],[WG''s]]</f>
        <v>0</v>
      </c>
      <c r="BT104" s="323">
        <f ca="1">IF(mystic_cap="none",TblMili[[#This Row],[Hill]]/mystic_bonus,MIN(mystic_cap,TblMili[[#This Row],[Hill]]/mystic_bonus))</f>
        <v>3.75</v>
      </c>
      <c r="BU104" s="323">
        <f ca="1">IF(druid_op_cap="none",TblMili[[#This Row],[Hill]]/druid_op_bonus,MIN(druid_op_cap,TblMili[[#This Row],[Hill]]/druid_op_bonus))</f>
        <v>3.75</v>
      </c>
      <c r="BV104" s="323">
        <f ca="1">IF(druid_dp_cap="none",TblMili[[#This Row],[Hill]]/druid_dp_bonus,MIN(druid_dp_cap,TblMili[[#This Row],[Hill]]/druid_dp_bonus))</f>
        <v>3.75</v>
      </c>
      <c r="BW104" s="323">
        <f ca="1">MIN(dryad_cap,TblMili[[#This Row],[Hill]]/dryad_bonus)</f>
        <v>3.75</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250</v>
      </c>
      <c r="CB104" s="124">
        <f ca="1">MIN(TblMili[[#This Row],[Unit 1]],TblMili[[#This Row],[Unit 4]])*2</f>
        <v>0</v>
      </c>
      <c r="CC104" s="323">
        <f ca="1">MIN(frost_mage_cap,TblMili[[#This Row],[Hill]]/frost_mage_bonus)</f>
        <v>3</v>
      </c>
      <c r="CD104" s="59">
        <f ca="1">MIN(ice_elem_cap,TblMili[[#This Row],[Raw (2)]]*ice_elem_bonus)</f>
        <v>5.8333333333333334E-2</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3.95</v>
      </c>
      <c r="CK10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4" s="113">
        <f ca="1">TblMili[[#This Row],[Mystic bonus]]*TblMili[[#This Row],[Unit 3]]+TblMili[[#This Row],[Druid bonus]]*TblMili[[#This Row],[Unit 4]]</f>
        <v>4836.25</v>
      </c>
      <c r="CM104" s="201">
        <f ca="1">MIN(6,TblMili[[#This Row],[Dryad]]+Races!$F$35)*1.8 +  IF(TblMili[[#This Row],[Dryad]]+Races!$F$35&gt;6,(TblMili[[#This Row],[Dryad]]+Races!$F$35-6)*0.2,0) - Races!$I$19</f>
        <v>3.7500000000000009</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5.4</v>
      </c>
      <c r="CT104" s="201">
        <f ca="1">1.8 * MIN(MAX(TblMili[[#This Row],[Ice Elemental]]+Races!$E$71,Races!$F$71),6)  +  0.45 * MIN(MIN(TblMili[[#This Row],[Ice Elemental]]+Races!$E$71,Races!$F$71),6)  +  0.2 * ( MAX(TblMili[[#This Row],[Ice Elemental]]+Races!$E$71-6,0) + MAX(Races!$F$71-6,0) )  -  Races!$I$71</f>
        <v>0.10500000000000043</v>
      </c>
      <c r="CU104" s="113">
        <f ca="1">TblMili[[#This Row],[Frost Mage bonus]]*TblMili[[#This Row],[Unit 3]]+TblMili[[#This Row],[Ice Elemental bonus]]*TblMili[[#This Row],[Unit 4]]</f>
        <v>738.00000000000023</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4" s="184"/>
      <c r="DA104" s="326">
        <f ca="1">(TblMili[[#This Row],[Wizards]]+2*TblMili[[#This Row],[Archmages]])/TblConstr[[#This Row],[Land]]</f>
        <v>5.8333333333333334E-2</v>
      </c>
      <c r="DB104" s="326">
        <f ca="1">TblMili[[#This Row],[Raw (2)]]*(1+race_wizard_strength+IF(TblMili[[#This Row],[Hour]]&gt;72,tech_magical_weaponry_wiz*TblTech[[#This Row],[3-5]],0))</f>
        <v>5.8333333333333334E-2</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4447</v>
      </c>
      <c r="C105" s="203">
        <f ca="1">TblPop[[#This Row],[Military%]]</f>
        <v>0.44635150055204253</v>
      </c>
      <c r="D105" s="184"/>
      <c r="E105" s="49">
        <f ca="1">OFFSET(TblMili[[#This Row],[Unit 1]],-1,0) + OFFSET(TblMili[[#This Row],[Train Unit 1]],-9,0) - TblMili[[#This Row],[Release Unit 1]]</f>
        <v>0</v>
      </c>
      <c r="F105" s="49">
        <f ca="1">OFFSET(TblMili[[#This Row],[Unit 2]],-1,0) + OFFSET(TblMili[[#This Row],[Train Unit 2]],-9,0)-TblMili[[#This Row],[Release Unit 2]]</f>
        <v>1081</v>
      </c>
      <c r="G105" s="49">
        <f ca="1">OFFSET(TblMili[[#This Row],[Unit 3]],-1,0) + OFFSET(TblMili[[#This Row],[Train Unit 3]],-12,0)-TblMili[[#This Row],[Release Unit 3]]</f>
        <v>125</v>
      </c>
      <c r="H105" s="49">
        <f ca="1">OFFSET(TblMili[[#This Row],[Unit 4]],-1,0) + OFFSET(TblMili[[#This Row],[Train Unit 4]],-12,0)-TblMili[[#This Row],[Release Unit 4]]</f>
        <v>600</v>
      </c>
      <c r="I105" s="49">
        <f ca="1">OFFSET(TblMili[[#This Row],[Spies]],-1,0) + OFFSET(TblMili[[#This Row],[Train Spies]],-12,0) - TblMili[[#This Row],[Release Spies]]</f>
        <v>35</v>
      </c>
      <c r="J105" s="49">
        <f ca="1">OFFSET(TblMili[[#This Row],[Wizards]],-1,0) + OFFSET(TblMili[[#This Row],[Train Wiz]],-12,0) - TblMili[[#This Row],[Release Wizards]]-TblMili[[#This Row],[Train Arch]]</f>
        <v>35</v>
      </c>
      <c r="K105" s="49">
        <f ca="1">OFFSET(TblMili[[#This Row],[Archmages]],-1,0) + OFFSET(TblMili[[#This Row],[Train Arch]],-12,0) - TblMili[[#This Row],[Release Arch]]</f>
        <v>0</v>
      </c>
      <c r="L105" s="184"/>
      <c r="M105" s="113">
        <f ca="1">TblProd[[#This Row],[Networth]]</f>
        <v>29507.5</v>
      </c>
      <c r="N105" s="184"/>
      <c r="O105" s="319">
        <f ca="1">TblMili[[#This Row],[Unit 1]]*spec_op+TblMili[[#This Row],[Unit 3]]*(elite1_base_op+dark_elf*TblMili[[#This Row],[Adept]])+TblMili[[#This Row],[Unit 4]]*(elite2_base_op+icekin*TblMili[[#This Row],[Ice Elemental]]+woodie*TblMili[[#This Row],[Druid (op)]]+orc*TblMili[[#This Row],[Orc]])+kobold*TblMili[[#This Row],[Overlords]]</f>
        <v>3850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3946.2499999999995</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5" s="319">
        <f ca="1">TblMili[[#This Row],[Non Draft]]+TblMili[[#This Row],[Draftees]]</f>
        <v>8364</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5793</v>
      </c>
      <c r="V105" s="319">
        <f ca="1">TblMili[[#This Row],[Draft]] * (1 + TblMili[[#This Row],[Mods_Def]])</f>
        <v>8364</v>
      </c>
      <c r="W105" s="319">
        <f ca="1">TblConstr[[#This Row],[Land]]</f>
        <v>600</v>
      </c>
      <c r="X105" s="322"/>
      <c r="Y105" s="327">
        <f ca="1">IF(TblMili[[#This Row],[Set]]&lt;&gt;"",TblMili[[#This Row],[Set]],OFFSET(TblMili[[#This Row],[Draftrate]],-1,0))</f>
        <v>0.9</v>
      </c>
      <c r="Z105" s="113">
        <f ca="1">OFFSET(TblMili[[#This Row],[Draftees]],-1,0)+OFFSET(TblPop[[#This Row],[Draft Growth]],-1,0) - SUM(TblMili[[#This Row],[Train Unit 1]:[Train Wiz]]) - TblMili[[#This Row],[Release Draft]] + SUM(TblMili[[#This Row],[Release Unit 1]:[Release Arch]]) -TblExplore[[#This Row],[Draftees (2)]]</f>
        <v>2571</v>
      </c>
      <c r="AA105" s="200"/>
      <c r="AB105" s="234">
        <f ca="1">(TblConstr[[#This Row],[Tot Smi]]+TblConstr[[#This Row],[Dest Smi]])/(TblConstr[[#This Row],[Land]]-TblExplore[[#This Row],[Land Bonus]]*20)</f>
        <v>0.18</v>
      </c>
      <c r="AC105" s="178"/>
      <c r="AD105" s="318">
        <f>TblMili[[#This Row],[Hour]]</f>
        <v>102</v>
      </c>
      <c r="AE105" s="179">
        <f ca="1">TblExplore[[#This Row],[Time]]</f>
        <v>44408.958333333088</v>
      </c>
      <c r="AF105" s="232"/>
      <c r="AG105" s="232"/>
      <c r="AH105" s="232"/>
      <c r="AI105" s="232"/>
      <c r="AJ105" s="232"/>
      <c r="AK105" s="232"/>
      <c r="AL105" s="232"/>
      <c r="AM105" s="184"/>
      <c r="AN105" s="113">
        <f ca="1">TblProd[[#This Row],[Platinum]]</f>
        <v>1185846</v>
      </c>
      <c r="AO105" s="113">
        <f ca="1">INDEX(TblProd[[#Headers],[Lumber]]:TblProd[[#This Row],[Ore]],COUNTA(TblProd[[#Headers],[Lumber]]:TblProd[[#This Row],[Lumber]]),MATCH(Military!$AO$2,TblProd[[#Headers],[Lumber]:[Ore]],0))</f>
        <v>71390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44408.958333333088</v>
      </c>
      <c r="AT105" s="113">
        <f ca="1">TblMili[[#This Row],[Draftees]]</f>
        <v>2571</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176</v>
      </c>
      <c r="BG105" s="113">
        <f ca="1">ROUNDUP(IF(race="Gnome",1,(1-MIN(TblMili[[#This Row],[Smithies]]*smithy_bonus,smithy_bonus_cap) + tech_3_5*TblTech[[#This Row],[3-5]] + tech_5_3*TblTech[[#This Row],[5-3]] + tech_5_5*TblTech[[#This Row],[5-5]]))*spec_op_ore,0)</f>
        <v>16</v>
      </c>
      <c r="BH105" s="113">
        <f ca="1">ROUNDUP((1-MIN(TblMili[[#This Row],[Smithies]]*smithy_bonus,smithy_bonus_cap) + tech_3_5*TblTech[[#This Row],[3-5]] + tech_5_3*TblTech[[#This Row],[5-3]] + tech_5_5*TblTech[[#This Row],[5-5]])*spec_dp_plat,0)</f>
        <v>176</v>
      </c>
      <c r="BI105" s="113">
        <f ca="1">ROUNDUP(IF(race="Gnome",1,(1-MIN(TblMili[[#This Row],[Smithies]]*smithy_bonus,smithy_bonus_cap) + tech_3_5*TblTech[[#This Row],[3-5]] + tech_5_3*TblTech[[#This Row],[5-3]] + tech_5_5*TblTech[[#This Row],[5-5]]))*spec_dp_ore,0)</f>
        <v>10</v>
      </c>
      <c r="BJ105" s="113">
        <f ca="1">ROUNDUP((1-MIN(TblMili[[#This Row],[Smithies]]*smithy_bonus,smithy_bonus_cap) + tech_3_5*TblTech[[#This Row],[3-5]] + tech_5_3*TblTech[[#This Row],[5-3]] + tech_5_5*TblTech[[#This Row],[5-5]])*elite1_plat,0)</f>
        <v>656</v>
      </c>
      <c r="BK105" s="113">
        <f ca="1">ROUNDUP(IF(race="Gnome",1,(1-MIN(TblMili[[#This Row],[Smithies]]*smithy_bonus,smithy_bonus_cap) + tech_3_5*TblTech[[#This Row],[3-5]] + tech_5_3*TblTech[[#This Row],[5-3]] + tech_5_5*TblTech[[#This Row],[5-5]]))*elite1_ore,0)</f>
        <v>48</v>
      </c>
      <c r="BL105" s="113">
        <f ca="1">ROUNDUP((1-MIN(TblMili[[#This Row],[Smithies]]*smithy_bonus,smithy_bonus_cap) + tech_3_5*TblTech[[#This Row],[3-5]] + tech_5_3*TblTech[[#This Row],[5-3]] + tech_5_5*TblTech[[#This Row],[5-5]])*elite2_plat,0)</f>
        <v>800</v>
      </c>
      <c r="BM105" s="113">
        <f ca="1">ROUNDUP(IF(race="Gnome",1,(1-MIN(TblMili[[#This Row],[Smithies]]*smithy_bonus,smithy_bonus_cap) + tech_3_5*TblTech[[#This Row],[3-5]] + tech_5_3*TblTech[[#This Row],[5-3]] + tech_5_5*TblTech[[#This Row],[5-5]]))*elite2_ore,0)</f>
        <v>64</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0.75</v>
      </c>
      <c r="BS105" s="208">
        <f ca="1">TblMili[[#This Row],[WG''s]]</f>
        <v>0</v>
      </c>
      <c r="BT105" s="323">
        <f ca="1">IF(mystic_cap="none",TblMili[[#This Row],[Hill]]/mystic_bonus,MIN(mystic_cap,TblMili[[#This Row],[Hill]]/mystic_bonus))</f>
        <v>3.75</v>
      </c>
      <c r="BU105" s="323">
        <f ca="1">IF(druid_op_cap="none",TblMili[[#This Row],[Hill]]/druid_op_bonus,MIN(druid_op_cap,TblMili[[#This Row],[Hill]]/druid_op_bonus))</f>
        <v>3.75</v>
      </c>
      <c r="BV105" s="323">
        <f ca="1">IF(druid_dp_cap="none",TblMili[[#This Row],[Hill]]/druid_dp_bonus,MIN(druid_dp_cap,TblMili[[#This Row],[Hill]]/druid_dp_bonus))</f>
        <v>3.75</v>
      </c>
      <c r="BW105" s="323">
        <f ca="1">MIN(dryad_cap,TblMili[[#This Row],[Hill]]/dryad_bonus)</f>
        <v>3.75</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250</v>
      </c>
      <c r="CB105" s="124">
        <f ca="1">MIN(TblMili[[#This Row],[Unit 1]],TblMili[[#This Row],[Unit 4]])*2</f>
        <v>0</v>
      </c>
      <c r="CC105" s="323">
        <f ca="1">MIN(frost_mage_cap,TblMili[[#This Row],[Hill]]/frost_mage_bonus)</f>
        <v>3</v>
      </c>
      <c r="CD105" s="59">
        <f ca="1">MIN(ice_elem_cap,TblMili[[#This Row],[Raw (2)]]*ice_elem_bonus)</f>
        <v>5.8333333333333334E-2</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3.95</v>
      </c>
      <c r="CK10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5" s="113">
        <f ca="1">TblMili[[#This Row],[Mystic bonus]]*TblMili[[#This Row],[Unit 3]]+TblMili[[#This Row],[Druid bonus]]*TblMili[[#This Row],[Unit 4]]</f>
        <v>4836.25</v>
      </c>
      <c r="CM105" s="201">
        <f ca="1">MIN(6,TblMili[[#This Row],[Dryad]]+Races!$F$35)*1.8 +  IF(TblMili[[#This Row],[Dryad]]+Races!$F$35&gt;6,(TblMili[[#This Row],[Dryad]]+Races!$F$35-6)*0.2,0) - Races!$I$19</f>
        <v>3.7500000000000009</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5.4</v>
      </c>
      <c r="CT105" s="201">
        <f ca="1">1.8 * MIN(MAX(TblMili[[#This Row],[Ice Elemental]]+Races!$E$71,Races!$F$71),6)  +  0.45 * MIN(MIN(TblMili[[#This Row],[Ice Elemental]]+Races!$E$71,Races!$F$71),6)  +  0.2 * ( MAX(TblMili[[#This Row],[Ice Elemental]]+Races!$E$71-6,0) + MAX(Races!$F$71-6,0) )  -  Races!$I$71</f>
        <v>0.10500000000000043</v>
      </c>
      <c r="CU105" s="113">
        <f ca="1">TblMili[[#This Row],[Frost Mage bonus]]*TblMili[[#This Row],[Unit 3]]+TblMili[[#This Row],[Ice Elemental bonus]]*TblMili[[#This Row],[Unit 4]]</f>
        <v>738.00000000000023</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5" s="184"/>
      <c r="DA105" s="326">
        <f ca="1">(TblMili[[#This Row],[Wizards]]+2*TblMili[[#This Row],[Archmages]])/TblConstr[[#This Row],[Land]]</f>
        <v>5.8333333333333334E-2</v>
      </c>
      <c r="DB105" s="326">
        <f ca="1">TblMili[[#This Row],[Raw (2)]]*(1+race_wizard_strength+IF(TblMili[[#This Row],[Hour]]&gt;72,tech_magical_weaponry_wiz*TblTech[[#This Row],[3-5]],0))</f>
        <v>5.8333333333333334E-2</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4502</v>
      </c>
      <c r="C106" s="203">
        <f ca="1">TblPop[[#This Row],[Military%]]</f>
        <v>0.45187192612666865</v>
      </c>
      <c r="D106" s="184"/>
      <c r="E106" s="49">
        <f ca="1">OFFSET(TblMili[[#This Row],[Unit 1]],-1,0) + OFFSET(TblMili[[#This Row],[Train Unit 1]],-9,0) - TblMili[[#This Row],[Release Unit 1]]</f>
        <v>0</v>
      </c>
      <c r="F106" s="49">
        <f ca="1">OFFSET(TblMili[[#This Row],[Unit 2]],-1,0) + OFFSET(TblMili[[#This Row],[Train Unit 2]],-9,0)-TblMili[[#This Row],[Release Unit 2]]</f>
        <v>1081</v>
      </c>
      <c r="G106" s="49">
        <f ca="1">OFFSET(TblMili[[#This Row],[Unit 3]],-1,0) + OFFSET(TblMili[[#This Row],[Train Unit 3]],-12,0)-TblMili[[#This Row],[Release Unit 3]]</f>
        <v>125</v>
      </c>
      <c r="H106" s="49">
        <f ca="1">OFFSET(TblMili[[#This Row],[Unit 4]],-1,0) + OFFSET(TblMili[[#This Row],[Train Unit 4]],-12,0)-TblMili[[#This Row],[Release Unit 4]]</f>
        <v>600</v>
      </c>
      <c r="I106" s="49">
        <f ca="1">OFFSET(TblMili[[#This Row],[Spies]],-1,0) + OFFSET(TblMili[[#This Row],[Train Spies]],-12,0) - TblMili[[#This Row],[Release Spies]]</f>
        <v>35</v>
      </c>
      <c r="J106" s="49">
        <f ca="1">OFFSET(TblMili[[#This Row],[Wizards]],-1,0) + OFFSET(TblMili[[#This Row],[Train Wiz]],-12,0) - TblMili[[#This Row],[Release Wizards]]-TblMili[[#This Row],[Train Arch]]</f>
        <v>35</v>
      </c>
      <c r="K106" s="49">
        <f ca="1">OFFSET(TblMili[[#This Row],[Archmages]],-1,0) + OFFSET(TblMili[[#This Row],[Train Arch]],-12,0) - TblMili[[#This Row],[Release Arch]]</f>
        <v>0</v>
      </c>
      <c r="L106" s="184"/>
      <c r="M106" s="113">
        <f ca="1">TblProd[[#This Row],[Networth]]</f>
        <v>29507.5</v>
      </c>
      <c r="N106" s="184"/>
      <c r="O106" s="319">
        <f ca="1">TblMili[[#This Row],[Unit 1]]*spec_op+TblMili[[#This Row],[Unit 3]]*(elite1_base_op+dark_elf*TblMili[[#This Row],[Adept]])+TblMili[[#This Row],[Unit 4]]*(elite2_base_op+icekin*TblMili[[#This Row],[Ice Elemental]]+woodie*TblMili[[#This Row],[Druid (op)]]+orc*TblMili[[#This Row],[Orc]])+kobold*TblMili[[#This Row],[Overlords]]</f>
        <v>3850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3946.2499999999995</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6" s="319">
        <f ca="1">TblMili[[#This Row],[Non Draft]]+TblMili[[#This Row],[Draftees]]</f>
        <v>8419</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5793</v>
      </c>
      <c r="V106" s="319">
        <f ca="1">TblMili[[#This Row],[Draft]] * (1 + TblMili[[#This Row],[Mods_Def]])</f>
        <v>8419</v>
      </c>
      <c r="W106" s="319">
        <f ca="1">TblConstr[[#This Row],[Land]]</f>
        <v>600</v>
      </c>
      <c r="X106" s="322"/>
      <c r="Y106" s="327">
        <f ca="1">IF(TblMili[[#This Row],[Set]]&lt;&gt;"",TblMili[[#This Row],[Set]],OFFSET(TblMili[[#This Row],[Draftrate]],-1,0))</f>
        <v>0.9</v>
      </c>
      <c r="Z106" s="113">
        <f ca="1">OFFSET(TblMili[[#This Row],[Draftees]],-1,0)+OFFSET(TblPop[[#This Row],[Draft Growth]],-1,0) - SUM(TblMili[[#This Row],[Train Unit 1]:[Train Wiz]]) - TblMili[[#This Row],[Release Draft]] + SUM(TblMili[[#This Row],[Release Unit 1]:[Release Arch]]) -TblExplore[[#This Row],[Draftees (2)]]</f>
        <v>2626</v>
      </c>
      <c r="AA106" s="200"/>
      <c r="AB106" s="234">
        <f ca="1">(TblConstr[[#This Row],[Tot Smi]]+TblConstr[[#This Row],[Dest Smi]])/(TblConstr[[#This Row],[Land]]-TblExplore[[#This Row],[Land Bonus]]*20)</f>
        <v>0.18</v>
      </c>
      <c r="AC106" s="178"/>
      <c r="AD106" s="318">
        <f>TblMili[[#This Row],[Hour]]</f>
        <v>103</v>
      </c>
      <c r="AE106" s="179">
        <f ca="1">TblExplore[[#This Row],[Time]]</f>
        <v>44408.999999999753</v>
      </c>
      <c r="AF106" s="232"/>
      <c r="AG106" s="232"/>
      <c r="AH106" s="232"/>
      <c r="AI106" s="232"/>
      <c r="AJ106" s="232"/>
      <c r="AK106" s="232"/>
      <c r="AL106" s="232"/>
      <c r="AM106" s="184"/>
      <c r="AN106" s="113">
        <f ca="1">TblProd[[#This Row],[Platinum]]</f>
        <v>1212619</v>
      </c>
      <c r="AO106" s="113">
        <f ca="1">INDEX(TblProd[[#Headers],[Lumber]]:TblProd[[#This Row],[Ore]],COUNTA(TblProd[[#Headers],[Lumber]]:TblProd[[#This Row],[Lumber]]),MATCH(Military!$AO$2,TblProd[[#Headers],[Lumber]:[Ore]],0))</f>
        <v>73190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44408.999999999753</v>
      </c>
      <c r="AT106" s="113">
        <f ca="1">TblMili[[#This Row],[Draftees]]</f>
        <v>2626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176</v>
      </c>
      <c r="BG106" s="113">
        <f ca="1">ROUNDUP(IF(race="Gnome",1,(1-MIN(TblMili[[#This Row],[Smithies]]*smithy_bonus,smithy_bonus_cap) + tech_3_5*TblTech[[#This Row],[3-5]] + tech_5_3*TblTech[[#This Row],[5-3]] + tech_5_5*TblTech[[#This Row],[5-5]]))*spec_op_ore,0)</f>
        <v>16</v>
      </c>
      <c r="BH106" s="113">
        <f ca="1">ROUNDUP((1-MIN(TblMili[[#This Row],[Smithies]]*smithy_bonus,smithy_bonus_cap) + tech_3_5*TblTech[[#This Row],[3-5]] + tech_5_3*TblTech[[#This Row],[5-3]] + tech_5_5*TblTech[[#This Row],[5-5]])*spec_dp_plat,0)</f>
        <v>176</v>
      </c>
      <c r="BI106" s="113">
        <f ca="1">ROUNDUP(IF(race="Gnome",1,(1-MIN(TblMili[[#This Row],[Smithies]]*smithy_bonus,smithy_bonus_cap) + tech_3_5*TblTech[[#This Row],[3-5]] + tech_5_3*TblTech[[#This Row],[5-3]] + tech_5_5*TblTech[[#This Row],[5-5]]))*spec_dp_ore,0)</f>
        <v>10</v>
      </c>
      <c r="BJ106" s="113">
        <f ca="1">ROUNDUP((1-MIN(TblMili[[#This Row],[Smithies]]*smithy_bonus,smithy_bonus_cap) + tech_3_5*TblTech[[#This Row],[3-5]] + tech_5_3*TblTech[[#This Row],[5-3]] + tech_5_5*TblTech[[#This Row],[5-5]])*elite1_plat,0)</f>
        <v>656</v>
      </c>
      <c r="BK106" s="113">
        <f ca="1">ROUNDUP(IF(race="Gnome",1,(1-MIN(TblMili[[#This Row],[Smithies]]*smithy_bonus,smithy_bonus_cap) + tech_3_5*TblTech[[#This Row],[3-5]] + tech_5_3*TblTech[[#This Row],[5-3]] + tech_5_5*TblTech[[#This Row],[5-5]]))*elite1_ore,0)</f>
        <v>48</v>
      </c>
      <c r="BL106" s="113">
        <f ca="1">ROUNDUP((1-MIN(TblMili[[#This Row],[Smithies]]*smithy_bonus,smithy_bonus_cap) + tech_3_5*TblTech[[#This Row],[3-5]] + tech_5_3*TblTech[[#This Row],[5-3]] + tech_5_5*TblTech[[#This Row],[5-5]])*elite2_plat,0)</f>
        <v>800</v>
      </c>
      <c r="BM106" s="113">
        <f ca="1">ROUNDUP(IF(race="Gnome",1,(1-MIN(TblMili[[#This Row],[Smithies]]*smithy_bonus,smithy_bonus_cap) + tech_3_5*TblTech[[#This Row],[3-5]] + tech_5_3*TblTech[[#This Row],[5-3]] + tech_5_5*TblTech[[#This Row],[5-5]]))*elite2_ore,0)</f>
        <v>64</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0.75</v>
      </c>
      <c r="BS106" s="208">
        <f ca="1">TblMili[[#This Row],[WG''s]]</f>
        <v>0</v>
      </c>
      <c r="BT106" s="323">
        <f ca="1">IF(mystic_cap="none",TblMili[[#This Row],[Hill]]/mystic_bonus,MIN(mystic_cap,TblMili[[#This Row],[Hill]]/mystic_bonus))</f>
        <v>3.75</v>
      </c>
      <c r="BU106" s="323">
        <f ca="1">IF(druid_op_cap="none",TblMili[[#This Row],[Hill]]/druid_op_bonus,MIN(druid_op_cap,TblMili[[#This Row],[Hill]]/druid_op_bonus))</f>
        <v>3.75</v>
      </c>
      <c r="BV106" s="323">
        <f ca="1">IF(druid_dp_cap="none",TblMili[[#This Row],[Hill]]/druid_dp_bonus,MIN(druid_dp_cap,TblMili[[#This Row],[Hill]]/druid_dp_bonus))</f>
        <v>3.75</v>
      </c>
      <c r="BW106" s="323">
        <f ca="1">MIN(dryad_cap,TblMili[[#This Row],[Hill]]/dryad_bonus)</f>
        <v>3.75</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250</v>
      </c>
      <c r="CB106" s="124">
        <f ca="1">MIN(TblMili[[#This Row],[Unit 1]],TblMili[[#This Row],[Unit 4]])*2</f>
        <v>0</v>
      </c>
      <c r="CC106" s="323">
        <f ca="1">MIN(frost_mage_cap,TblMili[[#This Row],[Hill]]/frost_mage_bonus)</f>
        <v>3</v>
      </c>
      <c r="CD106" s="59">
        <f ca="1">MIN(ice_elem_cap,TblMili[[#This Row],[Raw (2)]]*ice_elem_bonus)</f>
        <v>5.8333333333333334E-2</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3.95</v>
      </c>
      <c r="CK10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6" s="113">
        <f ca="1">TblMili[[#This Row],[Mystic bonus]]*TblMili[[#This Row],[Unit 3]]+TblMili[[#This Row],[Druid bonus]]*TblMili[[#This Row],[Unit 4]]</f>
        <v>4836.25</v>
      </c>
      <c r="CM106" s="201">
        <f ca="1">MIN(6,TblMili[[#This Row],[Dryad]]+Races!$F$35)*1.8 +  IF(TblMili[[#This Row],[Dryad]]+Races!$F$35&gt;6,(TblMili[[#This Row],[Dryad]]+Races!$F$35-6)*0.2,0) - Races!$I$19</f>
        <v>3.7500000000000009</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5.4</v>
      </c>
      <c r="CT106" s="201">
        <f ca="1">1.8 * MIN(MAX(TblMili[[#This Row],[Ice Elemental]]+Races!$E$71,Races!$F$71),6)  +  0.45 * MIN(MIN(TblMili[[#This Row],[Ice Elemental]]+Races!$E$71,Races!$F$71),6)  +  0.2 * ( MAX(TblMili[[#This Row],[Ice Elemental]]+Races!$E$71-6,0) + MAX(Races!$F$71-6,0) )  -  Races!$I$71</f>
        <v>0.10500000000000043</v>
      </c>
      <c r="CU106" s="113">
        <f ca="1">TblMili[[#This Row],[Frost Mage bonus]]*TblMili[[#This Row],[Unit 3]]+TblMili[[#This Row],[Ice Elemental bonus]]*TblMili[[#This Row],[Unit 4]]</f>
        <v>738.00000000000023</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6" s="184"/>
      <c r="DA106" s="326">
        <f ca="1">(TblMili[[#This Row],[Wizards]]+2*TblMili[[#This Row],[Archmages]])/TblConstr[[#This Row],[Land]]</f>
        <v>5.8333333333333334E-2</v>
      </c>
      <c r="DB106" s="326">
        <f ca="1">TblMili[[#This Row],[Raw (2)]]*(1+race_wizard_strength+IF(TblMili[[#This Row],[Hour]]&gt;72,tech_magical_weaponry_wiz*TblTech[[#This Row],[3-5]],0))</f>
        <v>5.8333333333333334E-2</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4557</v>
      </c>
      <c r="C107" s="203">
        <f ca="1">TblPop[[#This Row],[Military%]]</f>
        <v>0.45739235170129477</v>
      </c>
      <c r="D107" s="184"/>
      <c r="E107" s="49">
        <f ca="1">OFFSET(TblMili[[#This Row],[Unit 1]],-1,0) + OFFSET(TblMili[[#This Row],[Train Unit 1]],-9,0) - TblMili[[#This Row],[Release Unit 1]]</f>
        <v>0</v>
      </c>
      <c r="F107" s="49">
        <f ca="1">OFFSET(TblMili[[#This Row],[Unit 2]],-1,0) + OFFSET(TblMili[[#This Row],[Train Unit 2]],-9,0)-TblMili[[#This Row],[Release Unit 2]]</f>
        <v>1081</v>
      </c>
      <c r="G107" s="49">
        <f ca="1">OFFSET(TblMili[[#This Row],[Unit 3]],-1,0) + OFFSET(TblMili[[#This Row],[Train Unit 3]],-12,0)-TblMili[[#This Row],[Release Unit 3]]</f>
        <v>125</v>
      </c>
      <c r="H107" s="49">
        <f ca="1">OFFSET(TblMili[[#This Row],[Unit 4]],-1,0) + OFFSET(TblMili[[#This Row],[Train Unit 4]],-12,0)-TblMili[[#This Row],[Release Unit 4]]</f>
        <v>600</v>
      </c>
      <c r="I107" s="49">
        <f ca="1">OFFSET(TblMili[[#This Row],[Spies]],-1,0) + OFFSET(TblMili[[#This Row],[Train Spies]],-12,0) - TblMili[[#This Row],[Release Spies]]</f>
        <v>35</v>
      </c>
      <c r="J107" s="49">
        <f ca="1">OFFSET(TblMili[[#This Row],[Wizards]],-1,0) + OFFSET(TblMili[[#This Row],[Train Wiz]],-12,0) - TblMili[[#This Row],[Release Wizards]]-TblMili[[#This Row],[Train Arch]]</f>
        <v>35</v>
      </c>
      <c r="K107" s="49">
        <f ca="1">OFFSET(TblMili[[#This Row],[Archmages]],-1,0) + OFFSET(TblMili[[#This Row],[Train Arch]],-12,0) - TblMili[[#This Row],[Release Arch]]</f>
        <v>0</v>
      </c>
      <c r="L107" s="184"/>
      <c r="M107" s="113">
        <f ca="1">TblProd[[#This Row],[Networth]]</f>
        <v>29507.5</v>
      </c>
      <c r="N107" s="184"/>
      <c r="O107" s="319">
        <f ca="1">TblMili[[#This Row],[Unit 1]]*spec_op+TblMili[[#This Row],[Unit 3]]*(elite1_base_op+dark_elf*TblMili[[#This Row],[Adept]])+TblMili[[#This Row],[Unit 4]]*(elite2_base_op+icekin*TblMili[[#This Row],[Ice Elemental]]+woodie*TblMili[[#This Row],[Druid (op)]]+orc*TblMili[[#This Row],[Orc]])+kobold*TblMili[[#This Row],[Overlords]]</f>
        <v>3850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3946.2499999999995</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7" s="319">
        <f ca="1">TblMili[[#This Row],[Non Draft]]+TblMili[[#This Row],[Draftees]]</f>
        <v>8474</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5793</v>
      </c>
      <c r="V107" s="319">
        <f ca="1">TblMili[[#This Row],[Draft]] * (1 + TblMili[[#This Row],[Mods_Def]])</f>
        <v>8474</v>
      </c>
      <c r="W107" s="319">
        <f ca="1">TblConstr[[#This Row],[Land]]</f>
        <v>600</v>
      </c>
      <c r="X107" s="322"/>
      <c r="Y107" s="327">
        <f ca="1">IF(TblMili[[#This Row],[Set]]&lt;&gt;"",TblMili[[#This Row],[Set]],OFFSET(TblMili[[#This Row],[Draftrate]],-1,0))</f>
        <v>0.9</v>
      </c>
      <c r="Z107" s="113">
        <f ca="1">OFFSET(TblMili[[#This Row],[Draftees]],-1,0)+OFFSET(TblPop[[#This Row],[Draft Growth]],-1,0) - SUM(TblMili[[#This Row],[Train Unit 1]:[Train Wiz]]) - TblMili[[#This Row],[Release Draft]] + SUM(TblMili[[#This Row],[Release Unit 1]:[Release Arch]]) -TblExplore[[#This Row],[Draftees (2)]]</f>
        <v>2681</v>
      </c>
      <c r="AA107" s="200"/>
      <c r="AB107" s="234">
        <f ca="1">(TblConstr[[#This Row],[Tot Smi]]+TblConstr[[#This Row],[Dest Smi]])/(TblConstr[[#This Row],[Land]]-TblExplore[[#This Row],[Land Bonus]]*20)</f>
        <v>0.18</v>
      </c>
      <c r="AC107" s="178"/>
      <c r="AD107" s="318">
        <f>TblMili[[#This Row],[Hour]]</f>
        <v>104</v>
      </c>
      <c r="AE107" s="179">
        <f ca="1">TblExplore[[#This Row],[Time]]</f>
        <v>44409.041666666417</v>
      </c>
      <c r="AF107" s="232"/>
      <c r="AG107" s="232"/>
      <c r="AH107" s="232"/>
      <c r="AI107" s="232"/>
      <c r="AJ107" s="232"/>
      <c r="AK107" s="232"/>
      <c r="AL107" s="232"/>
      <c r="AM107" s="184"/>
      <c r="AN107" s="113">
        <f ca="1">TblProd[[#This Row],[Platinum]]</f>
        <v>1239243</v>
      </c>
      <c r="AO107" s="113">
        <f ca="1">INDEX(TblProd[[#Headers],[Lumber]]:TblProd[[#This Row],[Ore]],COUNTA(TblProd[[#Headers],[Lumber]]:TblProd[[#This Row],[Lumber]]),MATCH(Military!$AO$2,TblProd[[#Headers],[Lumber]:[Ore]],0))</f>
        <v>74990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44409.041666666417</v>
      </c>
      <c r="AT107" s="113">
        <f ca="1">TblMili[[#This Row],[Draftees]]</f>
        <v>2681</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176</v>
      </c>
      <c r="BG107" s="113">
        <f ca="1">ROUNDUP(IF(race="Gnome",1,(1-MIN(TblMili[[#This Row],[Smithies]]*smithy_bonus,smithy_bonus_cap) + tech_3_5*TblTech[[#This Row],[3-5]] + tech_5_3*TblTech[[#This Row],[5-3]] + tech_5_5*TblTech[[#This Row],[5-5]]))*spec_op_ore,0)</f>
        <v>16</v>
      </c>
      <c r="BH107" s="113">
        <f ca="1">ROUNDUP((1-MIN(TblMili[[#This Row],[Smithies]]*smithy_bonus,smithy_bonus_cap) + tech_3_5*TblTech[[#This Row],[3-5]] + tech_5_3*TblTech[[#This Row],[5-3]] + tech_5_5*TblTech[[#This Row],[5-5]])*spec_dp_plat,0)</f>
        <v>176</v>
      </c>
      <c r="BI107" s="113">
        <f ca="1">ROUNDUP(IF(race="Gnome",1,(1-MIN(TblMili[[#This Row],[Smithies]]*smithy_bonus,smithy_bonus_cap) + tech_3_5*TblTech[[#This Row],[3-5]] + tech_5_3*TblTech[[#This Row],[5-3]] + tech_5_5*TblTech[[#This Row],[5-5]]))*spec_dp_ore,0)</f>
        <v>10</v>
      </c>
      <c r="BJ107" s="113">
        <f ca="1">ROUNDUP((1-MIN(TblMili[[#This Row],[Smithies]]*smithy_bonus,smithy_bonus_cap) + tech_3_5*TblTech[[#This Row],[3-5]] + tech_5_3*TblTech[[#This Row],[5-3]] + tech_5_5*TblTech[[#This Row],[5-5]])*elite1_plat,0)</f>
        <v>656</v>
      </c>
      <c r="BK107" s="113">
        <f ca="1">ROUNDUP(IF(race="Gnome",1,(1-MIN(TblMili[[#This Row],[Smithies]]*smithy_bonus,smithy_bonus_cap) + tech_3_5*TblTech[[#This Row],[3-5]] + tech_5_3*TblTech[[#This Row],[5-3]] + tech_5_5*TblTech[[#This Row],[5-5]]))*elite1_ore,0)</f>
        <v>48</v>
      </c>
      <c r="BL107" s="113">
        <f ca="1">ROUNDUP((1-MIN(TblMili[[#This Row],[Smithies]]*smithy_bonus,smithy_bonus_cap) + tech_3_5*TblTech[[#This Row],[3-5]] + tech_5_3*TblTech[[#This Row],[5-3]] + tech_5_5*TblTech[[#This Row],[5-5]])*elite2_plat,0)</f>
        <v>800</v>
      </c>
      <c r="BM107" s="113">
        <f ca="1">ROUNDUP(IF(race="Gnome",1,(1-MIN(TblMili[[#This Row],[Smithies]]*smithy_bonus,smithy_bonus_cap) + tech_3_5*TblTech[[#This Row],[3-5]] + tech_5_3*TblTech[[#This Row],[5-3]] + tech_5_5*TblTech[[#This Row],[5-5]]))*elite2_ore,0)</f>
        <v>64</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0.75</v>
      </c>
      <c r="BS107" s="208">
        <f ca="1">TblMili[[#This Row],[WG''s]]</f>
        <v>0</v>
      </c>
      <c r="BT107" s="323">
        <f ca="1">IF(mystic_cap="none",TblMili[[#This Row],[Hill]]/mystic_bonus,MIN(mystic_cap,TblMili[[#This Row],[Hill]]/mystic_bonus))</f>
        <v>3.75</v>
      </c>
      <c r="BU107" s="323">
        <f ca="1">IF(druid_op_cap="none",TblMili[[#This Row],[Hill]]/druid_op_bonus,MIN(druid_op_cap,TblMili[[#This Row],[Hill]]/druid_op_bonus))</f>
        <v>3.75</v>
      </c>
      <c r="BV107" s="323">
        <f ca="1">IF(druid_dp_cap="none",TblMili[[#This Row],[Hill]]/druid_dp_bonus,MIN(druid_dp_cap,TblMili[[#This Row],[Hill]]/druid_dp_bonus))</f>
        <v>3.75</v>
      </c>
      <c r="BW107" s="323">
        <f ca="1">MIN(dryad_cap,TblMili[[#This Row],[Hill]]/dryad_bonus)</f>
        <v>3.75</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250</v>
      </c>
      <c r="CB107" s="124">
        <f ca="1">MIN(TblMili[[#This Row],[Unit 1]],TblMili[[#This Row],[Unit 4]])*2</f>
        <v>0</v>
      </c>
      <c r="CC107" s="323">
        <f ca="1">MIN(frost_mage_cap,TblMili[[#This Row],[Hill]]/frost_mage_bonus)</f>
        <v>3</v>
      </c>
      <c r="CD107" s="59">
        <f ca="1">MIN(ice_elem_cap,TblMili[[#This Row],[Raw (2)]]*ice_elem_bonus)</f>
        <v>5.8333333333333334E-2</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3.95</v>
      </c>
      <c r="CK10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7" s="113">
        <f ca="1">TblMili[[#This Row],[Mystic bonus]]*TblMili[[#This Row],[Unit 3]]+TblMili[[#This Row],[Druid bonus]]*TblMili[[#This Row],[Unit 4]]</f>
        <v>4836.25</v>
      </c>
      <c r="CM107" s="201">
        <f ca="1">MIN(6,TblMili[[#This Row],[Dryad]]+Races!$F$35)*1.8 +  IF(TblMili[[#This Row],[Dryad]]+Races!$F$35&gt;6,(TblMili[[#This Row],[Dryad]]+Races!$F$35-6)*0.2,0) - Races!$I$19</f>
        <v>3.7500000000000009</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5.4</v>
      </c>
      <c r="CT107" s="201">
        <f ca="1">1.8 * MIN(MAX(TblMili[[#This Row],[Ice Elemental]]+Races!$E$71,Races!$F$71),6)  +  0.45 * MIN(MIN(TblMili[[#This Row],[Ice Elemental]]+Races!$E$71,Races!$F$71),6)  +  0.2 * ( MAX(TblMili[[#This Row],[Ice Elemental]]+Races!$E$71-6,0) + MAX(Races!$F$71-6,0) )  -  Races!$I$71</f>
        <v>0.10500000000000043</v>
      </c>
      <c r="CU107" s="113">
        <f ca="1">TblMili[[#This Row],[Frost Mage bonus]]*TblMili[[#This Row],[Unit 3]]+TblMili[[#This Row],[Ice Elemental bonus]]*TblMili[[#This Row],[Unit 4]]</f>
        <v>738.00000000000023</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7" s="184"/>
      <c r="DA107" s="326">
        <f ca="1">(TblMili[[#This Row],[Wizards]]+2*TblMili[[#This Row],[Archmages]])/TblConstr[[#This Row],[Land]]</f>
        <v>5.8333333333333334E-2</v>
      </c>
      <c r="DB107" s="326">
        <f ca="1">TblMili[[#This Row],[Raw (2)]]*(1+race_wizard_strength+IF(TblMili[[#This Row],[Hour]]&gt;72,tech_magical_weaponry_wiz*TblTech[[#This Row],[3-5]],0))</f>
        <v>5.8333333333333334E-2</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4611</v>
      </c>
      <c r="C108" s="203">
        <f ca="1">TblPop[[#This Row],[Military%]]</f>
        <v>0.46281240590183681</v>
      </c>
      <c r="D108" s="184"/>
      <c r="E108" s="49">
        <f ca="1">OFFSET(TblMili[[#This Row],[Unit 1]],-1,0) + OFFSET(TblMili[[#This Row],[Train Unit 1]],-9,0) - TblMili[[#This Row],[Release Unit 1]]</f>
        <v>0</v>
      </c>
      <c r="F108" s="49">
        <f ca="1">OFFSET(TblMili[[#This Row],[Unit 2]],-1,0) + OFFSET(TblMili[[#This Row],[Train Unit 2]],-9,0)-TblMili[[#This Row],[Release Unit 2]]</f>
        <v>1081</v>
      </c>
      <c r="G108" s="49">
        <f ca="1">OFFSET(TblMili[[#This Row],[Unit 3]],-1,0) + OFFSET(TblMili[[#This Row],[Train Unit 3]],-12,0)-TblMili[[#This Row],[Release Unit 3]]</f>
        <v>125</v>
      </c>
      <c r="H108" s="49">
        <f ca="1">OFFSET(TblMili[[#This Row],[Unit 4]],-1,0) + OFFSET(TblMili[[#This Row],[Train Unit 4]],-12,0)-TblMili[[#This Row],[Release Unit 4]]</f>
        <v>600</v>
      </c>
      <c r="I108" s="49">
        <f ca="1">OFFSET(TblMili[[#This Row],[Spies]],-1,0) + OFFSET(TblMili[[#This Row],[Train Spies]],-12,0) - TblMili[[#This Row],[Release Spies]]</f>
        <v>35</v>
      </c>
      <c r="J108" s="49">
        <f ca="1">OFFSET(TblMili[[#This Row],[Wizards]],-1,0) + OFFSET(TblMili[[#This Row],[Train Wiz]],-12,0) - TblMili[[#This Row],[Release Wizards]]-TblMili[[#This Row],[Train Arch]]</f>
        <v>35</v>
      </c>
      <c r="K108" s="49">
        <f ca="1">OFFSET(TblMili[[#This Row],[Archmages]],-1,0) + OFFSET(TblMili[[#This Row],[Train Arch]],-12,0) - TblMili[[#This Row],[Release Arch]]</f>
        <v>0</v>
      </c>
      <c r="L108" s="184"/>
      <c r="M108" s="113">
        <f ca="1">TblProd[[#This Row],[Networth]]</f>
        <v>29507.5</v>
      </c>
      <c r="N108" s="184"/>
      <c r="O108" s="319">
        <f ca="1">TblMili[[#This Row],[Unit 1]]*spec_op+TblMili[[#This Row],[Unit 3]]*(elite1_base_op+dark_elf*TblMili[[#This Row],[Adept]])+TblMili[[#This Row],[Unit 4]]*(elite2_base_op+icekin*TblMili[[#This Row],[Ice Elemental]]+woodie*TblMili[[#This Row],[Druid (op)]]+orc*TblMili[[#This Row],[Orc]])+kobold*TblMili[[#This Row],[Overlords]]</f>
        <v>3850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3946.2499999999995</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8" s="319">
        <f ca="1">TblMili[[#This Row],[Non Draft]]+TblMili[[#This Row],[Draftees]]</f>
        <v>8528</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5793</v>
      </c>
      <c r="V108" s="319">
        <f ca="1">TblMili[[#This Row],[Draft]] * (1 + TblMili[[#This Row],[Mods_Def]])</f>
        <v>8528</v>
      </c>
      <c r="W108" s="319">
        <f ca="1">TblConstr[[#This Row],[Land]]</f>
        <v>600</v>
      </c>
      <c r="X108" s="322"/>
      <c r="Y108" s="327">
        <f ca="1">IF(TblMili[[#This Row],[Set]]&lt;&gt;"",TblMili[[#This Row],[Set]],OFFSET(TblMili[[#This Row],[Draftrate]],-1,0))</f>
        <v>0.9</v>
      </c>
      <c r="Z108" s="113">
        <f ca="1">OFFSET(TblMili[[#This Row],[Draftees]],-1,0)+OFFSET(TblPop[[#This Row],[Draft Growth]],-1,0) - SUM(TblMili[[#This Row],[Train Unit 1]:[Train Wiz]]) - TblMili[[#This Row],[Release Draft]] + SUM(TblMili[[#This Row],[Release Unit 1]:[Release Arch]]) -TblExplore[[#This Row],[Draftees (2)]]</f>
        <v>2735</v>
      </c>
      <c r="AA108" s="200"/>
      <c r="AB108" s="234">
        <f ca="1">(TblConstr[[#This Row],[Tot Smi]]+TblConstr[[#This Row],[Dest Smi]])/(TblConstr[[#This Row],[Land]]-TblExplore[[#This Row],[Land Bonus]]*20)</f>
        <v>0.18</v>
      </c>
      <c r="AC108" s="178"/>
      <c r="AD108" s="318">
        <f>TblMili[[#This Row],[Hour]]</f>
        <v>105</v>
      </c>
      <c r="AE108" s="179">
        <f ca="1">TblExplore[[#This Row],[Time]]</f>
        <v>44409.083333333081</v>
      </c>
      <c r="AF108" s="232"/>
      <c r="AG108" s="232"/>
      <c r="AH108" s="232"/>
      <c r="AI108" s="232"/>
      <c r="AJ108" s="232"/>
      <c r="AK108" s="232"/>
      <c r="AL108" s="232"/>
      <c r="AM108" s="184"/>
      <c r="AN108" s="113">
        <f ca="1">TblProd[[#This Row],[Platinum]]</f>
        <v>1265719</v>
      </c>
      <c r="AO108" s="113">
        <f ca="1">INDEX(TblProd[[#Headers],[Lumber]]:TblProd[[#This Row],[Ore]],COUNTA(TblProd[[#Headers],[Lumber]]:TblProd[[#This Row],[Lumber]]),MATCH(Military!$AO$2,TblProd[[#Headers],[Lumber]:[Ore]],0))</f>
        <v>76790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44409.083333333081</v>
      </c>
      <c r="AT108" s="113">
        <f ca="1">TblMili[[#This Row],[Draftees]]</f>
        <v>2735</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176</v>
      </c>
      <c r="BG108" s="113">
        <f ca="1">ROUNDUP(IF(race="Gnome",1,(1-MIN(TblMili[[#This Row],[Smithies]]*smithy_bonus,smithy_bonus_cap) + tech_3_5*TblTech[[#This Row],[3-5]] + tech_5_3*TblTech[[#This Row],[5-3]] + tech_5_5*TblTech[[#This Row],[5-5]]))*spec_op_ore,0)</f>
        <v>16</v>
      </c>
      <c r="BH108" s="113">
        <f ca="1">ROUNDUP((1-MIN(TblMili[[#This Row],[Smithies]]*smithy_bonus,smithy_bonus_cap) + tech_3_5*TblTech[[#This Row],[3-5]] + tech_5_3*TblTech[[#This Row],[5-3]] + tech_5_5*TblTech[[#This Row],[5-5]])*spec_dp_plat,0)</f>
        <v>176</v>
      </c>
      <c r="BI108" s="113">
        <f ca="1">ROUNDUP(IF(race="Gnome",1,(1-MIN(TblMili[[#This Row],[Smithies]]*smithy_bonus,smithy_bonus_cap) + tech_3_5*TblTech[[#This Row],[3-5]] + tech_5_3*TblTech[[#This Row],[5-3]] + tech_5_5*TblTech[[#This Row],[5-5]]))*spec_dp_ore,0)</f>
        <v>10</v>
      </c>
      <c r="BJ108" s="113">
        <f ca="1">ROUNDUP((1-MIN(TblMili[[#This Row],[Smithies]]*smithy_bonus,smithy_bonus_cap) + tech_3_5*TblTech[[#This Row],[3-5]] + tech_5_3*TblTech[[#This Row],[5-3]] + tech_5_5*TblTech[[#This Row],[5-5]])*elite1_plat,0)</f>
        <v>656</v>
      </c>
      <c r="BK108" s="113">
        <f ca="1">ROUNDUP(IF(race="Gnome",1,(1-MIN(TblMili[[#This Row],[Smithies]]*smithy_bonus,smithy_bonus_cap) + tech_3_5*TblTech[[#This Row],[3-5]] + tech_5_3*TblTech[[#This Row],[5-3]] + tech_5_5*TblTech[[#This Row],[5-5]]))*elite1_ore,0)</f>
        <v>48</v>
      </c>
      <c r="BL108" s="113">
        <f ca="1">ROUNDUP((1-MIN(TblMili[[#This Row],[Smithies]]*smithy_bonus,smithy_bonus_cap) + tech_3_5*TblTech[[#This Row],[3-5]] + tech_5_3*TblTech[[#This Row],[5-3]] + tech_5_5*TblTech[[#This Row],[5-5]])*elite2_plat,0)</f>
        <v>800</v>
      </c>
      <c r="BM108" s="113">
        <f ca="1">ROUNDUP(IF(race="Gnome",1,(1-MIN(TblMili[[#This Row],[Smithies]]*smithy_bonus,smithy_bonus_cap) + tech_3_5*TblTech[[#This Row],[3-5]] + tech_5_3*TblTech[[#This Row],[5-3]] + tech_5_5*TblTech[[#This Row],[5-5]]))*elite2_ore,0)</f>
        <v>64</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0.75</v>
      </c>
      <c r="BS108" s="208">
        <f ca="1">TblMili[[#This Row],[WG''s]]</f>
        <v>0</v>
      </c>
      <c r="BT108" s="323">
        <f ca="1">IF(mystic_cap="none",TblMili[[#This Row],[Hill]]/mystic_bonus,MIN(mystic_cap,TblMili[[#This Row],[Hill]]/mystic_bonus))</f>
        <v>3.75</v>
      </c>
      <c r="BU108" s="323">
        <f ca="1">IF(druid_op_cap="none",TblMili[[#This Row],[Hill]]/druid_op_bonus,MIN(druid_op_cap,TblMili[[#This Row],[Hill]]/druid_op_bonus))</f>
        <v>3.75</v>
      </c>
      <c r="BV108" s="323">
        <f ca="1">IF(druid_dp_cap="none",TblMili[[#This Row],[Hill]]/druid_dp_bonus,MIN(druid_dp_cap,TblMili[[#This Row],[Hill]]/druid_dp_bonus))</f>
        <v>3.75</v>
      </c>
      <c r="BW108" s="323">
        <f ca="1">MIN(dryad_cap,TblMili[[#This Row],[Hill]]/dryad_bonus)</f>
        <v>3.75</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250</v>
      </c>
      <c r="CB108" s="124">
        <f ca="1">MIN(TblMili[[#This Row],[Unit 1]],TblMili[[#This Row],[Unit 4]])*2</f>
        <v>0</v>
      </c>
      <c r="CC108" s="323">
        <f ca="1">MIN(frost_mage_cap,TblMili[[#This Row],[Hill]]/frost_mage_bonus)</f>
        <v>3</v>
      </c>
      <c r="CD108" s="59">
        <f ca="1">MIN(ice_elem_cap,TblMili[[#This Row],[Raw (2)]]*ice_elem_bonus)</f>
        <v>5.8333333333333334E-2</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3.95</v>
      </c>
      <c r="CK10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8" s="113">
        <f ca="1">TblMili[[#This Row],[Mystic bonus]]*TblMili[[#This Row],[Unit 3]]+TblMili[[#This Row],[Druid bonus]]*TblMili[[#This Row],[Unit 4]]</f>
        <v>4836.25</v>
      </c>
      <c r="CM108" s="201">
        <f ca="1">MIN(6,TblMili[[#This Row],[Dryad]]+Races!$F$35)*1.8 +  IF(TblMili[[#This Row],[Dryad]]+Races!$F$35&gt;6,(TblMili[[#This Row],[Dryad]]+Races!$F$35-6)*0.2,0) - Races!$I$19</f>
        <v>3.7500000000000009</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5.4</v>
      </c>
      <c r="CT108" s="201">
        <f ca="1">1.8 * MIN(MAX(TblMili[[#This Row],[Ice Elemental]]+Races!$E$71,Races!$F$71),6)  +  0.45 * MIN(MIN(TblMili[[#This Row],[Ice Elemental]]+Races!$E$71,Races!$F$71),6)  +  0.2 * ( MAX(TblMili[[#This Row],[Ice Elemental]]+Races!$E$71-6,0) + MAX(Races!$F$71-6,0) )  -  Races!$I$71</f>
        <v>0.10500000000000043</v>
      </c>
      <c r="CU108" s="113">
        <f ca="1">TblMili[[#This Row],[Frost Mage bonus]]*TblMili[[#This Row],[Unit 3]]+TblMili[[#This Row],[Ice Elemental bonus]]*TblMili[[#This Row],[Unit 4]]</f>
        <v>738.00000000000023</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8" s="184"/>
      <c r="DA108" s="326">
        <f ca="1">(TblMili[[#This Row],[Wizards]]+2*TblMili[[#This Row],[Archmages]])/TblConstr[[#This Row],[Land]]</f>
        <v>5.8333333333333334E-2</v>
      </c>
      <c r="DB108" s="326">
        <f ca="1">TblMili[[#This Row],[Raw (2)]]*(1+race_wizard_strength+IF(TblMili[[#This Row],[Hour]]&gt;72,tech_magical_weaponry_wiz*TblTech[[#This Row],[3-5]],0))</f>
        <v>5.8333333333333334E-2</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4665</v>
      </c>
      <c r="C109" s="203">
        <f ca="1">TblPop[[#This Row],[Military%]]</f>
        <v>0.46823246010237879</v>
      </c>
      <c r="D109" s="184"/>
      <c r="E109" s="49">
        <f ca="1">OFFSET(TblMili[[#This Row],[Unit 1]],-1,0) + OFFSET(TblMili[[#This Row],[Train Unit 1]],-9,0) - TblMili[[#This Row],[Release Unit 1]]</f>
        <v>0</v>
      </c>
      <c r="F109" s="49">
        <f ca="1">OFFSET(TblMili[[#This Row],[Unit 2]],-1,0) + OFFSET(TblMili[[#This Row],[Train Unit 2]],-9,0)-TblMili[[#This Row],[Release Unit 2]]</f>
        <v>1081</v>
      </c>
      <c r="G109" s="49">
        <f ca="1">OFFSET(TblMili[[#This Row],[Unit 3]],-1,0) + OFFSET(TblMili[[#This Row],[Train Unit 3]],-12,0)-TblMili[[#This Row],[Release Unit 3]]</f>
        <v>125</v>
      </c>
      <c r="H109" s="49">
        <f ca="1">OFFSET(TblMili[[#This Row],[Unit 4]],-1,0) + OFFSET(TblMili[[#This Row],[Train Unit 4]],-12,0)-TblMili[[#This Row],[Release Unit 4]]</f>
        <v>600</v>
      </c>
      <c r="I109" s="49">
        <f ca="1">OFFSET(TblMili[[#This Row],[Spies]],-1,0) + OFFSET(TblMili[[#This Row],[Train Spies]],-12,0) - TblMili[[#This Row],[Release Spies]]</f>
        <v>35</v>
      </c>
      <c r="J109" s="49">
        <f ca="1">OFFSET(TblMili[[#This Row],[Wizards]],-1,0) + OFFSET(TblMili[[#This Row],[Train Wiz]],-12,0) - TblMili[[#This Row],[Release Wizards]]-TblMili[[#This Row],[Train Arch]]</f>
        <v>35</v>
      </c>
      <c r="K109" s="49">
        <f ca="1">OFFSET(TblMili[[#This Row],[Archmages]],-1,0) + OFFSET(TblMili[[#This Row],[Train Arch]],-12,0) - TblMili[[#This Row],[Release Arch]]</f>
        <v>0</v>
      </c>
      <c r="L109" s="184"/>
      <c r="M109" s="113">
        <f ca="1">TblProd[[#This Row],[Networth]]</f>
        <v>29507.5</v>
      </c>
      <c r="N109" s="184"/>
      <c r="O109" s="319">
        <f ca="1">TblMili[[#This Row],[Unit 1]]*spec_op+TblMili[[#This Row],[Unit 3]]*(elite1_base_op+dark_elf*TblMili[[#This Row],[Adept]])+TblMili[[#This Row],[Unit 4]]*(elite2_base_op+icekin*TblMili[[#This Row],[Ice Elemental]]+woodie*TblMili[[#This Row],[Druid (op)]]+orc*TblMili[[#This Row],[Orc]])+kobold*TblMili[[#This Row],[Overlords]]</f>
        <v>3850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3946.2499999999995</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9" s="319">
        <f ca="1">TblMili[[#This Row],[Non Draft]]+TblMili[[#This Row],[Draftees]]</f>
        <v>8582</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5793</v>
      </c>
      <c r="V109" s="319">
        <f ca="1">TblMili[[#This Row],[Draft]] * (1 + TblMili[[#This Row],[Mods_Def]])</f>
        <v>8582</v>
      </c>
      <c r="W109" s="319">
        <f ca="1">TblConstr[[#This Row],[Land]]</f>
        <v>600</v>
      </c>
      <c r="X109" s="322"/>
      <c r="Y109" s="327">
        <f ca="1">IF(TblMili[[#This Row],[Set]]&lt;&gt;"",TblMili[[#This Row],[Set]],OFFSET(TblMili[[#This Row],[Draftrate]],-1,0))</f>
        <v>0.9</v>
      </c>
      <c r="Z109" s="113">
        <f ca="1">OFFSET(TblMili[[#This Row],[Draftees]],-1,0)+OFFSET(TblPop[[#This Row],[Draft Growth]],-1,0) - SUM(TblMili[[#This Row],[Train Unit 1]:[Train Wiz]]) - TblMili[[#This Row],[Release Draft]] + SUM(TblMili[[#This Row],[Release Unit 1]:[Release Arch]]) -TblExplore[[#This Row],[Draftees (2)]]</f>
        <v>2789</v>
      </c>
      <c r="AA109" s="200"/>
      <c r="AB109" s="234">
        <f ca="1">(TblConstr[[#This Row],[Tot Smi]]+TblConstr[[#This Row],[Dest Smi]])/(TblConstr[[#This Row],[Land]]-TblExplore[[#This Row],[Land Bonus]]*20)</f>
        <v>0.18</v>
      </c>
      <c r="AC109" s="178"/>
      <c r="AD109" s="318">
        <f>TblMili[[#This Row],[Hour]]</f>
        <v>106</v>
      </c>
      <c r="AE109" s="179">
        <f ca="1">TblExplore[[#This Row],[Time]]</f>
        <v>44409.124999999745</v>
      </c>
      <c r="AF109" s="232"/>
      <c r="AG109" s="232"/>
      <c r="AH109" s="232"/>
      <c r="AI109" s="232"/>
      <c r="AJ109" s="232"/>
      <c r="AK109" s="232"/>
      <c r="AL109" s="232"/>
      <c r="AM109" s="184"/>
      <c r="AN109" s="113">
        <f ca="1">TblProd[[#This Row],[Platinum]]</f>
        <v>1292049</v>
      </c>
      <c r="AO109" s="113">
        <f ca="1">INDEX(TblProd[[#Headers],[Lumber]]:TblProd[[#This Row],[Ore]],COUNTA(TblProd[[#Headers],[Lumber]]:TblProd[[#This Row],[Lumber]]),MATCH(Military!$AO$2,TblProd[[#Headers],[Lumber]:[Ore]],0))</f>
        <v>78590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44409.124999999745</v>
      </c>
      <c r="AT109" s="113">
        <f ca="1">TblMili[[#This Row],[Draftees]]</f>
        <v>2789</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176</v>
      </c>
      <c r="BG109" s="113">
        <f ca="1">ROUNDUP(IF(race="Gnome",1,(1-MIN(TblMili[[#This Row],[Smithies]]*smithy_bonus,smithy_bonus_cap) + tech_3_5*TblTech[[#This Row],[3-5]] + tech_5_3*TblTech[[#This Row],[5-3]] + tech_5_5*TblTech[[#This Row],[5-5]]))*spec_op_ore,0)</f>
        <v>16</v>
      </c>
      <c r="BH109" s="113">
        <f ca="1">ROUNDUP((1-MIN(TblMili[[#This Row],[Smithies]]*smithy_bonus,smithy_bonus_cap) + tech_3_5*TblTech[[#This Row],[3-5]] + tech_5_3*TblTech[[#This Row],[5-3]] + tech_5_5*TblTech[[#This Row],[5-5]])*spec_dp_plat,0)</f>
        <v>176</v>
      </c>
      <c r="BI109" s="113">
        <f ca="1">ROUNDUP(IF(race="Gnome",1,(1-MIN(TblMili[[#This Row],[Smithies]]*smithy_bonus,smithy_bonus_cap) + tech_3_5*TblTech[[#This Row],[3-5]] + tech_5_3*TblTech[[#This Row],[5-3]] + tech_5_5*TblTech[[#This Row],[5-5]]))*spec_dp_ore,0)</f>
        <v>10</v>
      </c>
      <c r="BJ109" s="113">
        <f ca="1">ROUNDUP((1-MIN(TblMili[[#This Row],[Smithies]]*smithy_bonus,smithy_bonus_cap) + tech_3_5*TblTech[[#This Row],[3-5]] + tech_5_3*TblTech[[#This Row],[5-3]] + tech_5_5*TblTech[[#This Row],[5-5]])*elite1_plat,0)</f>
        <v>656</v>
      </c>
      <c r="BK109" s="113">
        <f ca="1">ROUNDUP(IF(race="Gnome",1,(1-MIN(TblMili[[#This Row],[Smithies]]*smithy_bonus,smithy_bonus_cap) + tech_3_5*TblTech[[#This Row],[3-5]] + tech_5_3*TblTech[[#This Row],[5-3]] + tech_5_5*TblTech[[#This Row],[5-5]]))*elite1_ore,0)</f>
        <v>48</v>
      </c>
      <c r="BL109" s="113">
        <f ca="1">ROUNDUP((1-MIN(TblMili[[#This Row],[Smithies]]*smithy_bonus,smithy_bonus_cap) + tech_3_5*TblTech[[#This Row],[3-5]] + tech_5_3*TblTech[[#This Row],[5-3]] + tech_5_5*TblTech[[#This Row],[5-5]])*elite2_plat,0)</f>
        <v>800</v>
      </c>
      <c r="BM109" s="113">
        <f ca="1">ROUNDUP(IF(race="Gnome",1,(1-MIN(TblMili[[#This Row],[Smithies]]*smithy_bonus,smithy_bonus_cap) + tech_3_5*TblTech[[#This Row],[3-5]] + tech_5_3*TblTech[[#This Row],[5-3]] + tech_5_5*TblTech[[#This Row],[5-5]]))*elite2_ore,0)</f>
        <v>64</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0.75</v>
      </c>
      <c r="BS109" s="208">
        <f ca="1">TblMili[[#This Row],[WG''s]]</f>
        <v>0</v>
      </c>
      <c r="BT109" s="323">
        <f ca="1">IF(mystic_cap="none",TblMili[[#This Row],[Hill]]/mystic_bonus,MIN(mystic_cap,TblMili[[#This Row],[Hill]]/mystic_bonus))</f>
        <v>3.75</v>
      </c>
      <c r="BU109" s="323">
        <f ca="1">IF(druid_op_cap="none",TblMili[[#This Row],[Hill]]/druid_op_bonus,MIN(druid_op_cap,TblMili[[#This Row],[Hill]]/druid_op_bonus))</f>
        <v>3.75</v>
      </c>
      <c r="BV109" s="323">
        <f ca="1">IF(druid_dp_cap="none",TblMili[[#This Row],[Hill]]/druid_dp_bonus,MIN(druid_dp_cap,TblMili[[#This Row],[Hill]]/druid_dp_bonus))</f>
        <v>3.75</v>
      </c>
      <c r="BW109" s="323">
        <f ca="1">MIN(dryad_cap,TblMili[[#This Row],[Hill]]/dryad_bonus)</f>
        <v>3.75</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250</v>
      </c>
      <c r="CB109" s="124">
        <f ca="1">MIN(TblMili[[#This Row],[Unit 1]],TblMili[[#This Row],[Unit 4]])*2</f>
        <v>0</v>
      </c>
      <c r="CC109" s="323">
        <f ca="1">MIN(frost_mage_cap,TblMili[[#This Row],[Hill]]/frost_mage_bonus)</f>
        <v>3</v>
      </c>
      <c r="CD109" s="59">
        <f ca="1">MIN(ice_elem_cap,TblMili[[#This Row],[Raw (2)]]*ice_elem_bonus)</f>
        <v>5.8333333333333334E-2</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3.95</v>
      </c>
      <c r="CK10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9" s="113">
        <f ca="1">TblMili[[#This Row],[Mystic bonus]]*TblMili[[#This Row],[Unit 3]]+TblMili[[#This Row],[Druid bonus]]*TblMili[[#This Row],[Unit 4]]</f>
        <v>4836.25</v>
      </c>
      <c r="CM109" s="201">
        <f ca="1">MIN(6,TblMili[[#This Row],[Dryad]]+Races!$F$35)*1.8 +  IF(TblMili[[#This Row],[Dryad]]+Races!$F$35&gt;6,(TblMili[[#This Row],[Dryad]]+Races!$F$35-6)*0.2,0) - Races!$I$19</f>
        <v>3.7500000000000009</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5.4</v>
      </c>
      <c r="CT109" s="201">
        <f ca="1">1.8 * MIN(MAX(TblMili[[#This Row],[Ice Elemental]]+Races!$E$71,Races!$F$71),6)  +  0.45 * MIN(MIN(TblMili[[#This Row],[Ice Elemental]]+Races!$E$71,Races!$F$71),6)  +  0.2 * ( MAX(TblMili[[#This Row],[Ice Elemental]]+Races!$E$71-6,0) + MAX(Races!$F$71-6,0) )  -  Races!$I$71</f>
        <v>0.10500000000000043</v>
      </c>
      <c r="CU109" s="113">
        <f ca="1">TblMili[[#This Row],[Frost Mage bonus]]*TblMili[[#This Row],[Unit 3]]+TblMili[[#This Row],[Ice Elemental bonus]]*TblMili[[#This Row],[Unit 4]]</f>
        <v>738.00000000000023</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9" s="184"/>
      <c r="DA109" s="326">
        <f ca="1">(TblMili[[#This Row],[Wizards]]+2*TblMili[[#This Row],[Archmages]])/TblConstr[[#This Row],[Land]]</f>
        <v>5.8333333333333334E-2</v>
      </c>
      <c r="DB109" s="326">
        <f ca="1">TblMili[[#This Row],[Raw (2)]]*(1+race_wizard_strength+IF(TblMili[[#This Row],[Hour]]&gt;72,tech_magical_weaponry_wiz*TblTech[[#This Row],[3-5]],0))</f>
        <v>5.8333333333333334E-2</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4718</v>
      </c>
      <c r="C110" s="203">
        <f ca="1">TblPop[[#This Row],[Military%]]</f>
        <v>0.47355214292883668</v>
      </c>
      <c r="D110" s="184"/>
      <c r="E110" s="49">
        <f ca="1">OFFSET(TblMili[[#This Row],[Unit 1]],-1,0) + OFFSET(TblMili[[#This Row],[Train Unit 1]],-9,0) - TblMili[[#This Row],[Release Unit 1]]</f>
        <v>0</v>
      </c>
      <c r="F110" s="49">
        <f ca="1">OFFSET(TblMili[[#This Row],[Unit 2]],-1,0) + OFFSET(TblMili[[#This Row],[Train Unit 2]],-9,0)-TblMili[[#This Row],[Release Unit 2]]</f>
        <v>1081</v>
      </c>
      <c r="G110" s="49">
        <f ca="1">OFFSET(TblMili[[#This Row],[Unit 3]],-1,0) + OFFSET(TblMili[[#This Row],[Train Unit 3]],-12,0)-TblMili[[#This Row],[Release Unit 3]]</f>
        <v>125</v>
      </c>
      <c r="H110" s="49">
        <f ca="1">OFFSET(TblMili[[#This Row],[Unit 4]],-1,0) + OFFSET(TblMili[[#This Row],[Train Unit 4]],-12,0)-TblMili[[#This Row],[Release Unit 4]]</f>
        <v>600</v>
      </c>
      <c r="I110" s="49">
        <f ca="1">OFFSET(TblMili[[#This Row],[Spies]],-1,0) + OFFSET(TblMili[[#This Row],[Train Spies]],-12,0) - TblMili[[#This Row],[Release Spies]]</f>
        <v>35</v>
      </c>
      <c r="J110" s="49">
        <f ca="1">OFFSET(TblMili[[#This Row],[Wizards]],-1,0) + OFFSET(TblMili[[#This Row],[Train Wiz]],-12,0) - TblMili[[#This Row],[Release Wizards]]-TblMili[[#This Row],[Train Arch]]</f>
        <v>35</v>
      </c>
      <c r="K110" s="49">
        <f ca="1">OFFSET(TblMili[[#This Row],[Archmages]],-1,0) + OFFSET(TblMili[[#This Row],[Train Arch]],-12,0) - TblMili[[#This Row],[Release Arch]]</f>
        <v>0</v>
      </c>
      <c r="L110" s="184"/>
      <c r="M110" s="113">
        <f ca="1">TblProd[[#This Row],[Networth]]</f>
        <v>29507.5</v>
      </c>
      <c r="N110" s="184"/>
      <c r="O110" s="319">
        <f ca="1">TblMili[[#This Row],[Unit 1]]*spec_op+TblMili[[#This Row],[Unit 3]]*(elite1_base_op+dark_elf*TblMili[[#This Row],[Adept]])+TblMili[[#This Row],[Unit 4]]*(elite2_base_op+icekin*TblMili[[#This Row],[Ice Elemental]]+woodie*TblMili[[#This Row],[Druid (op)]]+orc*TblMili[[#This Row],[Orc]])+kobold*TblMili[[#This Row],[Overlords]]</f>
        <v>3850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3946.2499999999995</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0" s="319">
        <f ca="1">TblMili[[#This Row],[Non Draft]]+TblMili[[#This Row],[Draftees]]</f>
        <v>8635</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5793</v>
      </c>
      <c r="V110" s="319">
        <f ca="1">TblMili[[#This Row],[Draft]] * (1 + TblMili[[#This Row],[Mods_Def]])</f>
        <v>8635</v>
      </c>
      <c r="W110" s="319">
        <f ca="1">TblConstr[[#This Row],[Land]]</f>
        <v>600</v>
      </c>
      <c r="X110" s="322"/>
      <c r="Y110" s="327">
        <f ca="1">IF(TblMili[[#This Row],[Set]]&lt;&gt;"",TblMili[[#This Row],[Set]],OFFSET(TblMili[[#This Row],[Draftrate]],-1,0))</f>
        <v>0.9</v>
      </c>
      <c r="Z110" s="113">
        <f ca="1">OFFSET(TblMili[[#This Row],[Draftees]],-1,0)+OFFSET(TblPop[[#This Row],[Draft Growth]],-1,0) - SUM(TblMili[[#This Row],[Train Unit 1]:[Train Wiz]]) - TblMili[[#This Row],[Release Draft]] + SUM(TblMili[[#This Row],[Release Unit 1]:[Release Arch]]) -TblExplore[[#This Row],[Draftees (2)]]</f>
        <v>2842</v>
      </c>
      <c r="AA110" s="200"/>
      <c r="AB110" s="234">
        <f ca="1">(TblConstr[[#This Row],[Tot Smi]]+TblConstr[[#This Row],[Dest Smi]])/(TblConstr[[#This Row],[Land]]-TblExplore[[#This Row],[Land Bonus]]*20)</f>
        <v>0.18</v>
      </c>
      <c r="AC110" s="178"/>
      <c r="AD110" s="318">
        <f>TblMili[[#This Row],[Hour]]</f>
        <v>107</v>
      </c>
      <c r="AE110" s="179">
        <f ca="1">TblExplore[[#This Row],[Time]]</f>
        <v>44409.16666666641</v>
      </c>
      <c r="AF110" s="232"/>
      <c r="AG110" s="232"/>
      <c r="AH110" s="232"/>
      <c r="AI110" s="232"/>
      <c r="AJ110" s="232"/>
      <c r="AK110" s="232"/>
      <c r="AL110" s="232"/>
      <c r="AM110" s="184"/>
      <c r="AN110" s="113">
        <f ca="1">TblProd[[#This Row],[Platinum]]</f>
        <v>1318233</v>
      </c>
      <c r="AO110" s="113">
        <f ca="1">INDEX(TblProd[[#Headers],[Lumber]]:TblProd[[#This Row],[Ore]],COUNTA(TblProd[[#Headers],[Lumber]]:TblProd[[#This Row],[Lumber]]),MATCH(Military!$AO$2,TblProd[[#Headers],[Lumber]:[Ore]],0))</f>
        <v>80390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44409.16666666641</v>
      </c>
      <c r="AT110" s="113">
        <f ca="1">TblMili[[#This Row],[Draftees]]</f>
        <v>2842</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176</v>
      </c>
      <c r="BG110" s="113">
        <f ca="1">ROUNDUP(IF(race="Gnome",1,(1-MIN(TblMili[[#This Row],[Smithies]]*smithy_bonus,smithy_bonus_cap) + tech_3_5*TblTech[[#This Row],[3-5]] + tech_5_3*TblTech[[#This Row],[5-3]] + tech_5_5*TblTech[[#This Row],[5-5]]))*spec_op_ore,0)</f>
        <v>16</v>
      </c>
      <c r="BH110" s="113">
        <f ca="1">ROUNDUP((1-MIN(TblMili[[#This Row],[Smithies]]*smithy_bonus,smithy_bonus_cap) + tech_3_5*TblTech[[#This Row],[3-5]] + tech_5_3*TblTech[[#This Row],[5-3]] + tech_5_5*TblTech[[#This Row],[5-5]])*spec_dp_plat,0)</f>
        <v>176</v>
      </c>
      <c r="BI110" s="113">
        <f ca="1">ROUNDUP(IF(race="Gnome",1,(1-MIN(TblMili[[#This Row],[Smithies]]*smithy_bonus,smithy_bonus_cap) + tech_3_5*TblTech[[#This Row],[3-5]] + tech_5_3*TblTech[[#This Row],[5-3]] + tech_5_5*TblTech[[#This Row],[5-5]]))*spec_dp_ore,0)</f>
        <v>10</v>
      </c>
      <c r="BJ110" s="113">
        <f ca="1">ROUNDUP((1-MIN(TblMili[[#This Row],[Smithies]]*smithy_bonus,smithy_bonus_cap) + tech_3_5*TblTech[[#This Row],[3-5]] + tech_5_3*TblTech[[#This Row],[5-3]] + tech_5_5*TblTech[[#This Row],[5-5]])*elite1_plat,0)</f>
        <v>656</v>
      </c>
      <c r="BK110" s="113">
        <f ca="1">ROUNDUP(IF(race="Gnome",1,(1-MIN(TblMili[[#This Row],[Smithies]]*smithy_bonus,smithy_bonus_cap) + tech_3_5*TblTech[[#This Row],[3-5]] + tech_5_3*TblTech[[#This Row],[5-3]] + tech_5_5*TblTech[[#This Row],[5-5]]))*elite1_ore,0)</f>
        <v>48</v>
      </c>
      <c r="BL110" s="113">
        <f ca="1">ROUNDUP((1-MIN(TblMili[[#This Row],[Smithies]]*smithy_bonus,smithy_bonus_cap) + tech_3_5*TblTech[[#This Row],[3-5]] + tech_5_3*TblTech[[#This Row],[5-3]] + tech_5_5*TblTech[[#This Row],[5-5]])*elite2_plat,0)</f>
        <v>800</v>
      </c>
      <c r="BM110" s="113">
        <f ca="1">ROUNDUP(IF(race="Gnome",1,(1-MIN(TblMili[[#This Row],[Smithies]]*smithy_bonus,smithy_bonus_cap) + tech_3_5*TblTech[[#This Row],[3-5]] + tech_5_3*TblTech[[#This Row],[5-3]] + tech_5_5*TblTech[[#This Row],[5-5]]))*elite2_ore,0)</f>
        <v>64</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0.75</v>
      </c>
      <c r="BS110" s="208">
        <f ca="1">TblMili[[#This Row],[WG''s]]</f>
        <v>0</v>
      </c>
      <c r="BT110" s="323">
        <f ca="1">IF(mystic_cap="none",TblMili[[#This Row],[Hill]]/mystic_bonus,MIN(mystic_cap,TblMili[[#This Row],[Hill]]/mystic_bonus))</f>
        <v>3.75</v>
      </c>
      <c r="BU110" s="323">
        <f ca="1">IF(druid_op_cap="none",TblMili[[#This Row],[Hill]]/druid_op_bonus,MIN(druid_op_cap,TblMili[[#This Row],[Hill]]/druid_op_bonus))</f>
        <v>3.75</v>
      </c>
      <c r="BV110" s="323">
        <f ca="1">IF(druid_dp_cap="none",TblMili[[#This Row],[Hill]]/druid_dp_bonus,MIN(druid_dp_cap,TblMili[[#This Row],[Hill]]/druid_dp_bonus))</f>
        <v>3.75</v>
      </c>
      <c r="BW110" s="323">
        <f ca="1">MIN(dryad_cap,TblMili[[#This Row],[Hill]]/dryad_bonus)</f>
        <v>3.75</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250</v>
      </c>
      <c r="CB110" s="124">
        <f ca="1">MIN(TblMili[[#This Row],[Unit 1]],TblMili[[#This Row],[Unit 4]])*2</f>
        <v>0</v>
      </c>
      <c r="CC110" s="323">
        <f ca="1">MIN(frost_mage_cap,TblMili[[#This Row],[Hill]]/frost_mage_bonus)</f>
        <v>3</v>
      </c>
      <c r="CD110" s="59">
        <f ca="1">MIN(ice_elem_cap,TblMili[[#This Row],[Raw (2)]]*ice_elem_bonus)</f>
        <v>5.8333333333333334E-2</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3.95</v>
      </c>
      <c r="CK11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0" s="113">
        <f ca="1">TblMili[[#This Row],[Mystic bonus]]*TblMili[[#This Row],[Unit 3]]+TblMili[[#This Row],[Druid bonus]]*TblMili[[#This Row],[Unit 4]]</f>
        <v>4836.25</v>
      </c>
      <c r="CM110" s="201">
        <f ca="1">MIN(6,TblMili[[#This Row],[Dryad]]+Races!$F$35)*1.8 +  IF(TblMili[[#This Row],[Dryad]]+Races!$F$35&gt;6,(TblMili[[#This Row],[Dryad]]+Races!$F$35-6)*0.2,0) - Races!$I$19</f>
        <v>3.7500000000000009</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5.4</v>
      </c>
      <c r="CT110" s="201">
        <f ca="1">1.8 * MIN(MAX(TblMili[[#This Row],[Ice Elemental]]+Races!$E$71,Races!$F$71),6)  +  0.45 * MIN(MIN(TblMili[[#This Row],[Ice Elemental]]+Races!$E$71,Races!$F$71),6)  +  0.2 * ( MAX(TblMili[[#This Row],[Ice Elemental]]+Races!$E$71-6,0) + MAX(Races!$F$71-6,0) )  -  Races!$I$71</f>
        <v>0.10500000000000043</v>
      </c>
      <c r="CU110" s="113">
        <f ca="1">TblMili[[#This Row],[Frost Mage bonus]]*TblMili[[#This Row],[Unit 3]]+TblMili[[#This Row],[Ice Elemental bonus]]*TblMili[[#This Row],[Unit 4]]</f>
        <v>738.00000000000023</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0" s="184"/>
      <c r="DA110" s="326">
        <f ca="1">(TblMili[[#This Row],[Wizards]]+2*TblMili[[#This Row],[Archmages]])/TblConstr[[#This Row],[Land]]</f>
        <v>5.8333333333333334E-2</v>
      </c>
      <c r="DB110" s="326">
        <f ca="1">TblMili[[#This Row],[Raw (2)]]*(1+race_wizard_strength+IF(TblMili[[#This Row],[Hour]]&gt;72,tech_magical_weaponry_wiz*TblTech[[#This Row],[3-5]],0))</f>
        <v>5.8333333333333334E-2</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4770</v>
      </c>
      <c r="C111" s="203">
        <f ca="1">TblPop[[#This Row],[Military%]]</f>
        <v>0.47877145438121049</v>
      </c>
      <c r="D111" s="184"/>
      <c r="E111" s="49">
        <f ca="1">OFFSET(TblMili[[#This Row],[Unit 1]],-1,0) + OFFSET(TblMili[[#This Row],[Train Unit 1]],-9,0) - TblMili[[#This Row],[Release Unit 1]]</f>
        <v>0</v>
      </c>
      <c r="F111" s="49">
        <f ca="1">OFFSET(TblMili[[#This Row],[Unit 2]],-1,0) + OFFSET(TblMili[[#This Row],[Train Unit 2]],-9,0)-TblMili[[#This Row],[Release Unit 2]]</f>
        <v>1081</v>
      </c>
      <c r="G111" s="49">
        <f ca="1">OFFSET(TblMili[[#This Row],[Unit 3]],-1,0) + OFFSET(TblMili[[#This Row],[Train Unit 3]],-12,0)-TblMili[[#This Row],[Release Unit 3]]</f>
        <v>125</v>
      </c>
      <c r="H111" s="49">
        <f ca="1">OFFSET(TblMili[[#This Row],[Unit 4]],-1,0) + OFFSET(TblMili[[#This Row],[Train Unit 4]],-12,0)-TblMili[[#This Row],[Release Unit 4]]</f>
        <v>600</v>
      </c>
      <c r="I111" s="49">
        <f ca="1">OFFSET(TblMili[[#This Row],[Spies]],-1,0) + OFFSET(TblMili[[#This Row],[Train Spies]],-12,0) - TblMili[[#This Row],[Release Spies]]</f>
        <v>35</v>
      </c>
      <c r="J111" s="49">
        <f ca="1">OFFSET(TblMili[[#This Row],[Wizards]],-1,0) + OFFSET(TblMili[[#This Row],[Train Wiz]],-12,0) - TblMili[[#This Row],[Release Wizards]]-TblMili[[#This Row],[Train Arch]]</f>
        <v>35</v>
      </c>
      <c r="K111" s="49">
        <f ca="1">OFFSET(TblMili[[#This Row],[Archmages]],-1,0) + OFFSET(TblMili[[#This Row],[Train Arch]],-12,0) - TblMili[[#This Row],[Release Arch]]</f>
        <v>0</v>
      </c>
      <c r="L111" s="184"/>
      <c r="M111" s="113">
        <f ca="1">TblProd[[#This Row],[Networth]]</f>
        <v>29507.5</v>
      </c>
      <c r="N111" s="184"/>
      <c r="O111" s="319">
        <f ca="1">TblMili[[#This Row],[Unit 1]]*spec_op+TblMili[[#This Row],[Unit 3]]*(elite1_base_op+dark_elf*TblMili[[#This Row],[Adept]])+TblMili[[#This Row],[Unit 4]]*(elite2_base_op+icekin*TblMili[[#This Row],[Ice Elemental]]+woodie*TblMili[[#This Row],[Druid (op)]]+orc*TblMili[[#This Row],[Orc]])+kobold*TblMili[[#This Row],[Overlords]]</f>
        <v>3850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3946.2499999999995</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1" s="319">
        <f ca="1">TblMili[[#This Row],[Non Draft]]+TblMili[[#This Row],[Draftees]]</f>
        <v>8687</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5793</v>
      </c>
      <c r="V111" s="319">
        <f ca="1">TblMili[[#This Row],[Draft]] * (1 + TblMili[[#This Row],[Mods_Def]])</f>
        <v>8687</v>
      </c>
      <c r="W111" s="319">
        <f ca="1">TblConstr[[#This Row],[Land]]</f>
        <v>600</v>
      </c>
      <c r="X111" s="322"/>
      <c r="Y111" s="327">
        <f ca="1">IF(TblMili[[#This Row],[Set]]&lt;&gt;"",TblMili[[#This Row],[Set]],OFFSET(TblMili[[#This Row],[Draftrate]],-1,0))</f>
        <v>0.9</v>
      </c>
      <c r="Z111" s="113">
        <f ca="1">OFFSET(TblMili[[#This Row],[Draftees]],-1,0)+OFFSET(TblPop[[#This Row],[Draft Growth]],-1,0) - SUM(TblMili[[#This Row],[Train Unit 1]:[Train Wiz]]) - TblMili[[#This Row],[Release Draft]] + SUM(TblMili[[#This Row],[Release Unit 1]:[Release Arch]]) -TblExplore[[#This Row],[Draftees (2)]]</f>
        <v>2894</v>
      </c>
      <c r="AA111" s="200"/>
      <c r="AB111" s="234">
        <f ca="1">(TblConstr[[#This Row],[Tot Smi]]+TblConstr[[#This Row],[Dest Smi]])/(TblConstr[[#This Row],[Land]]-TblExplore[[#This Row],[Land Bonus]]*20)</f>
        <v>0.18</v>
      </c>
      <c r="AC111" s="178"/>
      <c r="AD111" s="318">
        <f>TblMili[[#This Row],[Hour]]</f>
        <v>108</v>
      </c>
      <c r="AE111" s="179">
        <f ca="1">TblExplore[[#This Row],[Time]]</f>
        <v>44409.208333333074</v>
      </c>
      <c r="AF111" s="232"/>
      <c r="AG111" s="232"/>
      <c r="AH111" s="232"/>
      <c r="AI111" s="232"/>
      <c r="AJ111" s="232"/>
      <c r="AK111" s="232"/>
      <c r="AL111" s="232"/>
      <c r="AM111" s="184"/>
      <c r="AN111" s="113">
        <f ca="1">TblProd[[#This Row],[Platinum]]</f>
        <v>1344274</v>
      </c>
      <c r="AO111" s="113">
        <f ca="1">INDEX(TblProd[[#Headers],[Lumber]]:TblProd[[#This Row],[Ore]],COUNTA(TblProd[[#Headers],[Lumber]]:TblProd[[#This Row],[Lumber]]),MATCH(Military!$AO$2,TblProd[[#Headers],[Lumber]:[Ore]],0))</f>
        <v>82190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44409.208333333074</v>
      </c>
      <c r="AT111" s="113">
        <f ca="1">TblMili[[#This Row],[Draftees]]</f>
        <v>2894</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176</v>
      </c>
      <c r="BG111" s="113">
        <f ca="1">ROUNDUP(IF(race="Gnome",1,(1-MIN(TblMili[[#This Row],[Smithies]]*smithy_bonus,smithy_bonus_cap) + tech_3_5*TblTech[[#This Row],[3-5]] + tech_5_3*TblTech[[#This Row],[5-3]] + tech_5_5*TblTech[[#This Row],[5-5]]))*spec_op_ore,0)</f>
        <v>16</v>
      </c>
      <c r="BH111" s="113">
        <f ca="1">ROUNDUP((1-MIN(TblMili[[#This Row],[Smithies]]*smithy_bonus,smithy_bonus_cap) + tech_3_5*TblTech[[#This Row],[3-5]] + tech_5_3*TblTech[[#This Row],[5-3]] + tech_5_5*TblTech[[#This Row],[5-5]])*spec_dp_plat,0)</f>
        <v>176</v>
      </c>
      <c r="BI111" s="113">
        <f ca="1">ROUNDUP(IF(race="Gnome",1,(1-MIN(TblMili[[#This Row],[Smithies]]*smithy_bonus,smithy_bonus_cap) + tech_3_5*TblTech[[#This Row],[3-5]] + tech_5_3*TblTech[[#This Row],[5-3]] + tech_5_5*TblTech[[#This Row],[5-5]]))*spec_dp_ore,0)</f>
        <v>10</v>
      </c>
      <c r="BJ111" s="113">
        <f ca="1">ROUNDUP((1-MIN(TblMili[[#This Row],[Smithies]]*smithy_bonus,smithy_bonus_cap) + tech_3_5*TblTech[[#This Row],[3-5]] + tech_5_3*TblTech[[#This Row],[5-3]] + tech_5_5*TblTech[[#This Row],[5-5]])*elite1_plat,0)</f>
        <v>656</v>
      </c>
      <c r="BK111" s="113">
        <f ca="1">ROUNDUP(IF(race="Gnome",1,(1-MIN(TblMili[[#This Row],[Smithies]]*smithy_bonus,smithy_bonus_cap) + tech_3_5*TblTech[[#This Row],[3-5]] + tech_5_3*TblTech[[#This Row],[5-3]] + tech_5_5*TblTech[[#This Row],[5-5]]))*elite1_ore,0)</f>
        <v>48</v>
      </c>
      <c r="BL111" s="113">
        <f ca="1">ROUNDUP((1-MIN(TblMili[[#This Row],[Smithies]]*smithy_bonus,smithy_bonus_cap) + tech_3_5*TblTech[[#This Row],[3-5]] + tech_5_3*TblTech[[#This Row],[5-3]] + tech_5_5*TblTech[[#This Row],[5-5]])*elite2_plat,0)</f>
        <v>800</v>
      </c>
      <c r="BM111" s="113">
        <f ca="1">ROUNDUP(IF(race="Gnome",1,(1-MIN(TblMili[[#This Row],[Smithies]]*smithy_bonus,smithy_bonus_cap) + tech_3_5*TblTech[[#This Row],[3-5]] + tech_5_3*TblTech[[#This Row],[5-3]] + tech_5_5*TblTech[[#This Row],[5-5]]))*elite2_ore,0)</f>
        <v>64</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0.75</v>
      </c>
      <c r="BS111" s="208">
        <f ca="1">TblMili[[#This Row],[WG''s]]</f>
        <v>0</v>
      </c>
      <c r="BT111" s="323">
        <f ca="1">IF(mystic_cap="none",TblMili[[#This Row],[Hill]]/mystic_bonus,MIN(mystic_cap,TblMili[[#This Row],[Hill]]/mystic_bonus))</f>
        <v>3.75</v>
      </c>
      <c r="BU111" s="323">
        <f ca="1">IF(druid_op_cap="none",TblMili[[#This Row],[Hill]]/druid_op_bonus,MIN(druid_op_cap,TblMili[[#This Row],[Hill]]/druid_op_bonus))</f>
        <v>3.75</v>
      </c>
      <c r="BV111" s="323">
        <f ca="1">IF(druid_dp_cap="none",TblMili[[#This Row],[Hill]]/druid_dp_bonus,MIN(druid_dp_cap,TblMili[[#This Row],[Hill]]/druid_dp_bonus))</f>
        <v>3.75</v>
      </c>
      <c r="BW111" s="323">
        <f ca="1">MIN(dryad_cap,TblMili[[#This Row],[Hill]]/dryad_bonus)</f>
        <v>3.75</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250</v>
      </c>
      <c r="CB111" s="124">
        <f ca="1">MIN(TblMili[[#This Row],[Unit 1]],TblMili[[#This Row],[Unit 4]])*2</f>
        <v>0</v>
      </c>
      <c r="CC111" s="323">
        <f ca="1">MIN(frost_mage_cap,TblMili[[#This Row],[Hill]]/frost_mage_bonus)</f>
        <v>3</v>
      </c>
      <c r="CD111" s="59">
        <f ca="1">MIN(ice_elem_cap,TblMili[[#This Row],[Raw (2)]]*ice_elem_bonus)</f>
        <v>5.8333333333333334E-2</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3.95</v>
      </c>
      <c r="CK11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1" s="113">
        <f ca="1">TblMili[[#This Row],[Mystic bonus]]*TblMili[[#This Row],[Unit 3]]+TblMili[[#This Row],[Druid bonus]]*TblMili[[#This Row],[Unit 4]]</f>
        <v>4836.25</v>
      </c>
      <c r="CM111" s="201">
        <f ca="1">MIN(6,TblMili[[#This Row],[Dryad]]+Races!$F$35)*1.8 +  IF(TblMili[[#This Row],[Dryad]]+Races!$F$35&gt;6,(TblMili[[#This Row],[Dryad]]+Races!$F$35-6)*0.2,0) - Races!$I$19</f>
        <v>3.7500000000000009</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5.4</v>
      </c>
      <c r="CT111" s="201">
        <f ca="1">1.8 * MIN(MAX(TblMili[[#This Row],[Ice Elemental]]+Races!$E$71,Races!$F$71),6)  +  0.45 * MIN(MIN(TblMili[[#This Row],[Ice Elemental]]+Races!$E$71,Races!$F$71),6)  +  0.2 * ( MAX(TblMili[[#This Row],[Ice Elemental]]+Races!$E$71-6,0) + MAX(Races!$F$71-6,0) )  -  Races!$I$71</f>
        <v>0.10500000000000043</v>
      </c>
      <c r="CU111" s="113">
        <f ca="1">TblMili[[#This Row],[Frost Mage bonus]]*TblMili[[#This Row],[Unit 3]]+TblMili[[#This Row],[Ice Elemental bonus]]*TblMili[[#This Row],[Unit 4]]</f>
        <v>738.00000000000023</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1" s="184"/>
      <c r="DA111" s="326">
        <f ca="1">(TblMili[[#This Row],[Wizards]]+2*TblMili[[#This Row],[Archmages]])/TblConstr[[#This Row],[Land]]</f>
        <v>5.8333333333333334E-2</v>
      </c>
      <c r="DB111" s="326">
        <f ca="1">TblMili[[#This Row],[Raw (2)]]*(1+race_wizard_strength+IF(TblMili[[#This Row],[Hour]]&gt;72,tech_magical_weaponry_wiz*TblTech[[#This Row],[3-5]],0))</f>
        <v>5.8333333333333334E-2</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4822</v>
      </c>
      <c r="C112" s="203">
        <f ca="1">TblPop[[#This Row],[Military%]]</f>
        <v>0.48399076583358425</v>
      </c>
      <c r="D112" s="184"/>
      <c r="E112" s="49">
        <f ca="1">OFFSET(TblMili[[#This Row],[Unit 1]],-1,0) + OFFSET(TblMili[[#This Row],[Train Unit 1]],-9,0) - TblMili[[#This Row],[Release Unit 1]]</f>
        <v>0</v>
      </c>
      <c r="F112" s="49">
        <f ca="1">OFFSET(TblMili[[#This Row],[Unit 2]],-1,0) + OFFSET(TblMili[[#This Row],[Train Unit 2]],-9,0)-TblMili[[#This Row],[Release Unit 2]]</f>
        <v>1081</v>
      </c>
      <c r="G112" s="49">
        <f ca="1">OFFSET(TblMili[[#This Row],[Unit 3]],-1,0) + OFFSET(TblMili[[#This Row],[Train Unit 3]],-12,0)-TblMili[[#This Row],[Release Unit 3]]</f>
        <v>125</v>
      </c>
      <c r="H112" s="49">
        <f ca="1">OFFSET(TblMili[[#This Row],[Unit 4]],-1,0) + OFFSET(TblMili[[#This Row],[Train Unit 4]],-12,0)-TblMili[[#This Row],[Release Unit 4]]</f>
        <v>600</v>
      </c>
      <c r="I112" s="49">
        <f ca="1">OFFSET(TblMili[[#This Row],[Spies]],-1,0) + OFFSET(TblMili[[#This Row],[Train Spies]],-12,0) - TblMili[[#This Row],[Release Spies]]</f>
        <v>35</v>
      </c>
      <c r="J112" s="49">
        <f ca="1">OFFSET(TblMili[[#This Row],[Wizards]],-1,0) + OFFSET(TblMili[[#This Row],[Train Wiz]],-12,0) - TblMili[[#This Row],[Release Wizards]]-TblMili[[#This Row],[Train Arch]]</f>
        <v>35</v>
      </c>
      <c r="K112" s="49">
        <f ca="1">OFFSET(TblMili[[#This Row],[Archmages]],-1,0) + OFFSET(TblMili[[#This Row],[Train Arch]],-12,0) - TblMili[[#This Row],[Release Arch]]</f>
        <v>0</v>
      </c>
      <c r="L112" s="184"/>
      <c r="M112" s="113">
        <f ca="1">TblProd[[#This Row],[Networth]]</f>
        <v>29507.5</v>
      </c>
      <c r="N112" s="184"/>
      <c r="O112" s="319">
        <f ca="1">TblMili[[#This Row],[Unit 1]]*spec_op+TblMili[[#This Row],[Unit 3]]*(elite1_base_op+dark_elf*TblMili[[#This Row],[Adept]])+TblMili[[#This Row],[Unit 4]]*(elite2_base_op+icekin*TblMili[[#This Row],[Ice Elemental]]+woodie*TblMili[[#This Row],[Druid (op)]]+orc*TblMili[[#This Row],[Orc]])+kobold*TblMili[[#This Row],[Overlords]]</f>
        <v>3850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3946.2499999999995</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2" s="319">
        <f ca="1">TblMili[[#This Row],[Non Draft]]+TblMili[[#This Row],[Draftees]]</f>
        <v>8739</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5793</v>
      </c>
      <c r="V112" s="319">
        <f ca="1">TblMili[[#This Row],[Draft]] * (1 + TblMili[[#This Row],[Mods_Def]])</f>
        <v>8739</v>
      </c>
      <c r="W112" s="319">
        <f ca="1">TblConstr[[#This Row],[Land]]</f>
        <v>600</v>
      </c>
      <c r="X112" s="322"/>
      <c r="Y112" s="327">
        <f ca="1">IF(TblMili[[#This Row],[Set]]&lt;&gt;"",TblMili[[#This Row],[Set]],OFFSET(TblMili[[#This Row],[Draftrate]],-1,0))</f>
        <v>0.9</v>
      </c>
      <c r="Z112" s="113">
        <f ca="1">OFFSET(TblMili[[#This Row],[Draftees]],-1,0)+OFFSET(TblPop[[#This Row],[Draft Growth]],-1,0) - SUM(TblMili[[#This Row],[Train Unit 1]:[Train Wiz]]) - TblMili[[#This Row],[Release Draft]] + SUM(TblMili[[#This Row],[Release Unit 1]:[Release Arch]]) -TblExplore[[#This Row],[Draftees (2)]]</f>
        <v>2946</v>
      </c>
      <c r="AA112" s="200"/>
      <c r="AB112" s="234">
        <f ca="1">(TblConstr[[#This Row],[Tot Smi]]+TblConstr[[#This Row],[Dest Smi]])/(TblConstr[[#This Row],[Land]]-TblExplore[[#This Row],[Land Bonus]]*20)</f>
        <v>0.18</v>
      </c>
      <c r="AC112" s="178"/>
      <c r="AD112" s="318">
        <f>TblMili[[#This Row],[Hour]]</f>
        <v>109</v>
      </c>
      <c r="AE112" s="179">
        <f ca="1">TblExplore[[#This Row],[Time]]</f>
        <v>44409.249999999738</v>
      </c>
      <c r="AF112" s="232"/>
      <c r="AG112" s="232"/>
      <c r="AH112" s="232"/>
      <c r="AI112" s="232"/>
      <c r="AJ112" s="232"/>
      <c r="AK112" s="232"/>
      <c r="AL112" s="232"/>
      <c r="AM112" s="184"/>
      <c r="AN112" s="113">
        <f ca="1">TblProd[[#This Row],[Platinum]]</f>
        <v>1370175</v>
      </c>
      <c r="AO112" s="113">
        <f ca="1">INDEX(TblProd[[#Headers],[Lumber]]:TblProd[[#This Row],[Ore]],COUNTA(TblProd[[#Headers],[Lumber]]:TblProd[[#This Row],[Lumber]]),MATCH(Military!$AO$2,TblProd[[#Headers],[Lumber]:[Ore]],0))</f>
        <v>83990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44409.249999999738</v>
      </c>
      <c r="AT112" s="113">
        <f ca="1">TblMili[[#This Row],[Draftees]]</f>
        <v>2946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176</v>
      </c>
      <c r="BG112" s="113">
        <f ca="1">ROUNDUP(IF(race="Gnome",1,(1-MIN(TblMili[[#This Row],[Smithies]]*smithy_bonus,smithy_bonus_cap) + tech_3_5*TblTech[[#This Row],[3-5]] + tech_5_3*TblTech[[#This Row],[5-3]] + tech_5_5*TblTech[[#This Row],[5-5]]))*spec_op_ore,0)</f>
        <v>16</v>
      </c>
      <c r="BH112" s="113">
        <f ca="1">ROUNDUP((1-MIN(TblMili[[#This Row],[Smithies]]*smithy_bonus,smithy_bonus_cap) + tech_3_5*TblTech[[#This Row],[3-5]] + tech_5_3*TblTech[[#This Row],[5-3]] + tech_5_5*TblTech[[#This Row],[5-5]])*spec_dp_plat,0)</f>
        <v>176</v>
      </c>
      <c r="BI112" s="113">
        <f ca="1">ROUNDUP(IF(race="Gnome",1,(1-MIN(TblMili[[#This Row],[Smithies]]*smithy_bonus,smithy_bonus_cap) + tech_3_5*TblTech[[#This Row],[3-5]] + tech_5_3*TblTech[[#This Row],[5-3]] + tech_5_5*TblTech[[#This Row],[5-5]]))*spec_dp_ore,0)</f>
        <v>10</v>
      </c>
      <c r="BJ112" s="113">
        <f ca="1">ROUNDUP((1-MIN(TblMili[[#This Row],[Smithies]]*smithy_bonus,smithy_bonus_cap) + tech_3_5*TblTech[[#This Row],[3-5]] + tech_5_3*TblTech[[#This Row],[5-3]] + tech_5_5*TblTech[[#This Row],[5-5]])*elite1_plat,0)</f>
        <v>656</v>
      </c>
      <c r="BK112" s="113">
        <f ca="1">ROUNDUP(IF(race="Gnome",1,(1-MIN(TblMili[[#This Row],[Smithies]]*smithy_bonus,smithy_bonus_cap) + tech_3_5*TblTech[[#This Row],[3-5]] + tech_5_3*TblTech[[#This Row],[5-3]] + tech_5_5*TblTech[[#This Row],[5-5]]))*elite1_ore,0)</f>
        <v>48</v>
      </c>
      <c r="BL112" s="113">
        <f ca="1">ROUNDUP((1-MIN(TblMili[[#This Row],[Smithies]]*smithy_bonus,smithy_bonus_cap) + tech_3_5*TblTech[[#This Row],[3-5]] + tech_5_3*TblTech[[#This Row],[5-3]] + tech_5_5*TblTech[[#This Row],[5-5]])*elite2_plat,0)</f>
        <v>800</v>
      </c>
      <c r="BM112" s="113">
        <f ca="1">ROUNDUP(IF(race="Gnome",1,(1-MIN(TblMili[[#This Row],[Smithies]]*smithy_bonus,smithy_bonus_cap) + tech_3_5*TblTech[[#This Row],[3-5]] + tech_5_3*TblTech[[#This Row],[5-3]] + tech_5_5*TblTech[[#This Row],[5-5]]))*elite2_ore,0)</f>
        <v>64</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0.75</v>
      </c>
      <c r="BS112" s="208">
        <f ca="1">TblMili[[#This Row],[WG''s]]</f>
        <v>0</v>
      </c>
      <c r="BT112" s="323">
        <f ca="1">IF(mystic_cap="none",TblMili[[#This Row],[Hill]]/mystic_bonus,MIN(mystic_cap,TblMili[[#This Row],[Hill]]/mystic_bonus))</f>
        <v>3.75</v>
      </c>
      <c r="BU112" s="323">
        <f ca="1">IF(druid_op_cap="none",TblMili[[#This Row],[Hill]]/druid_op_bonus,MIN(druid_op_cap,TblMili[[#This Row],[Hill]]/druid_op_bonus))</f>
        <v>3.75</v>
      </c>
      <c r="BV112" s="323">
        <f ca="1">IF(druid_dp_cap="none",TblMili[[#This Row],[Hill]]/druid_dp_bonus,MIN(druid_dp_cap,TblMili[[#This Row],[Hill]]/druid_dp_bonus))</f>
        <v>3.75</v>
      </c>
      <c r="BW112" s="323">
        <f ca="1">MIN(dryad_cap,TblMili[[#This Row],[Hill]]/dryad_bonus)</f>
        <v>3.75</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250</v>
      </c>
      <c r="CB112" s="124">
        <f ca="1">MIN(TblMili[[#This Row],[Unit 1]],TblMili[[#This Row],[Unit 4]])*2</f>
        <v>0</v>
      </c>
      <c r="CC112" s="323">
        <f ca="1">MIN(frost_mage_cap,TblMili[[#This Row],[Hill]]/frost_mage_bonus)</f>
        <v>3</v>
      </c>
      <c r="CD112" s="59">
        <f ca="1">MIN(ice_elem_cap,TblMili[[#This Row],[Raw (2)]]*ice_elem_bonus)</f>
        <v>5.8333333333333334E-2</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3.95</v>
      </c>
      <c r="CK11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2" s="113">
        <f ca="1">TblMili[[#This Row],[Mystic bonus]]*TblMili[[#This Row],[Unit 3]]+TblMili[[#This Row],[Druid bonus]]*TblMili[[#This Row],[Unit 4]]</f>
        <v>4836.25</v>
      </c>
      <c r="CM112" s="201">
        <f ca="1">MIN(6,TblMili[[#This Row],[Dryad]]+Races!$F$35)*1.8 +  IF(TblMili[[#This Row],[Dryad]]+Races!$F$35&gt;6,(TblMili[[#This Row],[Dryad]]+Races!$F$35-6)*0.2,0) - Races!$I$19</f>
        <v>3.7500000000000009</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5.4</v>
      </c>
      <c r="CT112" s="201">
        <f ca="1">1.8 * MIN(MAX(TblMili[[#This Row],[Ice Elemental]]+Races!$E$71,Races!$F$71),6)  +  0.45 * MIN(MIN(TblMili[[#This Row],[Ice Elemental]]+Races!$E$71,Races!$F$71),6)  +  0.2 * ( MAX(TblMili[[#This Row],[Ice Elemental]]+Races!$E$71-6,0) + MAX(Races!$F$71-6,0) )  -  Races!$I$71</f>
        <v>0.10500000000000043</v>
      </c>
      <c r="CU112" s="113">
        <f ca="1">TblMili[[#This Row],[Frost Mage bonus]]*TblMili[[#This Row],[Unit 3]]+TblMili[[#This Row],[Ice Elemental bonus]]*TblMili[[#This Row],[Unit 4]]</f>
        <v>738.00000000000023</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2" s="184"/>
      <c r="DA112" s="326">
        <f ca="1">(TblMili[[#This Row],[Wizards]]+2*TblMili[[#This Row],[Archmages]])/TblConstr[[#This Row],[Land]]</f>
        <v>5.8333333333333334E-2</v>
      </c>
      <c r="DB112" s="326">
        <f ca="1">TblMili[[#This Row],[Raw (2)]]*(1+race_wizard_strength+IF(TblMili[[#This Row],[Hour]]&gt;72,tech_magical_weaponry_wiz*TblTech[[#This Row],[3-5]],0))</f>
        <v>5.8333333333333334E-2</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4873</v>
      </c>
      <c r="C113" s="203">
        <f ca="1">TblPop[[#This Row],[Military%]]</f>
        <v>0.48910970591187392</v>
      </c>
      <c r="D113" s="184"/>
      <c r="E113" s="49">
        <f ca="1">OFFSET(TblMili[[#This Row],[Unit 1]],-1,0) + OFFSET(TblMili[[#This Row],[Train Unit 1]],-9,0) - TblMili[[#This Row],[Release Unit 1]]</f>
        <v>0</v>
      </c>
      <c r="F113" s="49">
        <f ca="1">OFFSET(TblMili[[#This Row],[Unit 2]],-1,0) + OFFSET(TblMili[[#This Row],[Train Unit 2]],-9,0)-TblMili[[#This Row],[Release Unit 2]]</f>
        <v>1081</v>
      </c>
      <c r="G113" s="49">
        <f ca="1">OFFSET(TblMili[[#This Row],[Unit 3]],-1,0) + OFFSET(TblMili[[#This Row],[Train Unit 3]],-12,0)-TblMili[[#This Row],[Release Unit 3]]</f>
        <v>125</v>
      </c>
      <c r="H113" s="49">
        <f ca="1">OFFSET(TblMili[[#This Row],[Unit 4]],-1,0) + OFFSET(TblMili[[#This Row],[Train Unit 4]],-12,0)-TblMili[[#This Row],[Release Unit 4]]</f>
        <v>600</v>
      </c>
      <c r="I113" s="49">
        <f ca="1">OFFSET(TblMili[[#This Row],[Spies]],-1,0) + OFFSET(TblMili[[#This Row],[Train Spies]],-12,0) - TblMili[[#This Row],[Release Spies]]</f>
        <v>35</v>
      </c>
      <c r="J113" s="49">
        <f ca="1">OFFSET(TblMili[[#This Row],[Wizards]],-1,0) + OFFSET(TblMili[[#This Row],[Train Wiz]],-12,0) - TblMili[[#This Row],[Release Wizards]]-TblMili[[#This Row],[Train Arch]]</f>
        <v>35</v>
      </c>
      <c r="K113" s="49">
        <f ca="1">OFFSET(TblMili[[#This Row],[Archmages]],-1,0) + OFFSET(TblMili[[#This Row],[Train Arch]],-12,0) - TblMili[[#This Row],[Release Arch]]</f>
        <v>0</v>
      </c>
      <c r="L113" s="184"/>
      <c r="M113" s="113">
        <f ca="1">TblProd[[#This Row],[Networth]]</f>
        <v>29507.5</v>
      </c>
      <c r="N113" s="184"/>
      <c r="O113" s="319">
        <f ca="1">TblMili[[#This Row],[Unit 1]]*spec_op+TblMili[[#This Row],[Unit 3]]*(elite1_base_op+dark_elf*TblMili[[#This Row],[Adept]])+TblMili[[#This Row],[Unit 4]]*(elite2_base_op+icekin*TblMili[[#This Row],[Ice Elemental]]+woodie*TblMili[[#This Row],[Druid (op)]]+orc*TblMili[[#This Row],[Orc]])+kobold*TblMili[[#This Row],[Overlords]]</f>
        <v>3850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3946.2499999999995</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3" s="319">
        <f ca="1">TblMili[[#This Row],[Non Draft]]+TblMili[[#This Row],[Draftees]]</f>
        <v>8790</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5793</v>
      </c>
      <c r="V113" s="319">
        <f ca="1">TblMili[[#This Row],[Draft]] * (1 + TblMili[[#This Row],[Mods_Def]])</f>
        <v>8790</v>
      </c>
      <c r="W113" s="319">
        <f ca="1">TblConstr[[#This Row],[Land]]</f>
        <v>600</v>
      </c>
      <c r="X113" s="322"/>
      <c r="Y113" s="327">
        <f ca="1">IF(TblMili[[#This Row],[Set]]&lt;&gt;"",TblMili[[#This Row],[Set]],OFFSET(TblMili[[#This Row],[Draftrate]],-1,0))</f>
        <v>0.9</v>
      </c>
      <c r="Z113" s="113">
        <f ca="1">OFFSET(TblMili[[#This Row],[Draftees]],-1,0)+OFFSET(TblPop[[#This Row],[Draft Growth]],-1,0) - SUM(TblMili[[#This Row],[Train Unit 1]:[Train Wiz]]) - TblMili[[#This Row],[Release Draft]] + SUM(TblMili[[#This Row],[Release Unit 1]:[Release Arch]]) -TblExplore[[#This Row],[Draftees (2)]]</f>
        <v>2997</v>
      </c>
      <c r="AA113" s="200"/>
      <c r="AB113" s="234">
        <f ca="1">(TblConstr[[#This Row],[Tot Smi]]+TblConstr[[#This Row],[Dest Smi]])/(TblConstr[[#This Row],[Land]]-TblExplore[[#This Row],[Land Bonus]]*20)</f>
        <v>0.18</v>
      </c>
      <c r="AC113" s="178"/>
      <c r="AD113" s="318">
        <f>TblMili[[#This Row],[Hour]]</f>
        <v>110</v>
      </c>
      <c r="AE113" s="179">
        <f ca="1">TblExplore[[#This Row],[Time]]</f>
        <v>44409.291666666402</v>
      </c>
      <c r="AF113" s="232"/>
      <c r="AG113" s="232"/>
      <c r="AH113" s="232"/>
      <c r="AI113" s="232"/>
      <c r="AJ113" s="232"/>
      <c r="AK113" s="232"/>
      <c r="AL113" s="232"/>
      <c r="AM113" s="184"/>
      <c r="AN113" s="113">
        <f ca="1">TblProd[[#This Row],[Platinum]]</f>
        <v>1395935</v>
      </c>
      <c r="AO113" s="113">
        <f ca="1">INDEX(TblProd[[#Headers],[Lumber]]:TblProd[[#This Row],[Ore]],COUNTA(TblProd[[#Headers],[Lumber]]:TblProd[[#This Row],[Lumber]]),MATCH(Military!$AO$2,TblProd[[#Headers],[Lumber]:[Ore]],0))</f>
        <v>85790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44409.291666666402</v>
      </c>
      <c r="AT113" s="113">
        <f ca="1">TblMili[[#This Row],[Draftees]]</f>
        <v>2997</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176</v>
      </c>
      <c r="BG113" s="113">
        <f ca="1">ROUNDUP(IF(race="Gnome",1,(1-MIN(TblMili[[#This Row],[Smithies]]*smithy_bonus,smithy_bonus_cap) + tech_3_5*TblTech[[#This Row],[3-5]] + tech_5_3*TblTech[[#This Row],[5-3]] + tech_5_5*TblTech[[#This Row],[5-5]]))*spec_op_ore,0)</f>
        <v>16</v>
      </c>
      <c r="BH113" s="113">
        <f ca="1">ROUNDUP((1-MIN(TblMili[[#This Row],[Smithies]]*smithy_bonus,smithy_bonus_cap) + tech_3_5*TblTech[[#This Row],[3-5]] + tech_5_3*TblTech[[#This Row],[5-3]] + tech_5_5*TblTech[[#This Row],[5-5]])*spec_dp_plat,0)</f>
        <v>176</v>
      </c>
      <c r="BI113" s="113">
        <f ca="1">ROUNDUP(IF(race="Gnome",1,(1-MIN(TblMili[[#This Row],[Smithies]]*smithy_bonus,smithy_bonus_cap) + tech_3_5*TblTech[[#This Row],[3-5]] + tech_5_3*TblTech[[#This Row],[5-3]] + tech_5_5*TblTech[[#This Row],[5-5]]))*spec_dp_ore,0)</f>
        <v>10</v>
      </c>
      <c r="BJ113" s="113">
        <f ca="1">ROUNDUP((1-MIN(TblMili[[#This Row],[Smithies]]*smithy_bonus,smithy_bonus_cap) + tech_3_5*TblTech[[#This Row],[3-5]] + tech_5_3*TblTech[[#This Row],[5-3]] + tech_5_5*TblTech[[#This Row],[5-5]])*elite1_plat,0)</f>
        <v>656</v>
      </c>
      <c r="BK113" s="113">
        <f ca="1">ROUNDUP(IF(race="Gnome",1,(1-MIN(TblMili[[#This Row],[Smithies]]*smithy_bonus,smithy_bonus_cap) + tech_3_5*TblTech[[#This Row],[3-5]] + tech_5_3*TblTech[[#This Row],[5-3]] + tech_5_5*TblTech[[#This Row],[5-5]]))*elite1_ore,0)</f>
        <v>48</v>
      </c>
      <c r="BL113" s="113">
        <f ca="1">ROUNDUP((1-MIN(TblMili[[#This Row],[Smithies]]*smithy_bonus,smithy_bonus_cap) + tech_3_5*TblTech[[#This Row],[3-5]] + tech_5_3*TblTech[[#This Row],[5-3]] + tech_5_5*TblTech[[#This Row],[5-5]])*elite2_plat,0)</f>
        <v>800</v>
      </c>
      <c r="BM113" s="113">
        <f ca="1">ROUNDUP(IF(race="Gnome",1,(1-MIN(TblMili[[#This Row],[Smithies]]*smithy_bonus,smithy_bonus_cap) + tech_3_5*TblTech[[#This Row],[3-5]] + tech_5_3*TblTech[[#This Row],[5-3]] + tech_5_5*TblTech[[#This Row],[5-5]]))*elite2_ore,0)</f>
        <v>64</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0.75</v>
      </c>
      <c r="BS113" s="208">
        <f ca="1">TblMili[[#This Row],[WG''s]]</f>
        <v>0</v>
      </c>
      <c r="BT113" s="323">
        <f ca="1">IF(mystic_cap="none",TblMili[[#This Row],[Hill]]/mystic_bonus,MIN(mystic_cap,TblMili[[#This Row],[Hill]]/mystic_bonus))</f>
        <v>3.75</v>
      </c>
      <c r="BU113" s="323">
        <f ca="1">IF(druid_op_cap="none",TblMili[[#This Row],[Hill]]/druid_op_bonus,MIN(druid_op_cap,TblMili[[#This Row],[Hill]]/druid_op_bonus))</f>
        <v>3.75</v>
      </c>
      <c r="BV113" s="323">
        <f ca="1">IF(druid_dp_cap="none",TblMili[[#This Row],[Hill]]/druid_dp_bonus,MIN(druid_dp_cap,TblMili[[#This Row],[Hill]]/druid_dp_bonus))</f>
        <v>3.75</v>
      </c>
      <c r="BW113" s="323">
        <f ca="1">MIN(dryad_cap,TblMili[[#This Row],[Hill]]/dryad_bonus)</f>
        <v>3.75</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250</v>
      </c>
      <c r="CB113" s="124">
        <f ca="1">MIN(TblMili[[#This Row],[Unit 1]],TblMili[[#This Row],[Unit 4]])*2</f>
        <v>0</v>
      </c>
      <c r="CC113" s="323">
        <f ca="1">MIN(frost_mage_cap,TblMili[[#This Row],[Hill]]/frost_mage_bonus)</f>
        <v>3</v>
      </c>
      <c r="CD113" s="59">
        <f ca="1">MIN(ice_elem_cap,TblMili[[#This Row],[Raw (2)]]*ice_elem_bonus)</f>
        <v>5.8333333333333334E-2</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3.95</v>
      </c>
      <c r="CK11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3" s="113">
        <f ca="1">TblMili[[#This Row],[Mystic bonus]]*TblMili[[#This Row],[Unit 3]]+TblMili[[#This Row],[Druid bonus]]*TblMili[[#This Row],[Unit 4]]</f>
        <v>4836.25</v>
      </c>
      <c r="CM113" s="201">
        <f ca="1">MIN(6,TblMili[[#This Row],[Dryad]]+Races!$F$35)*1.8 +  IF(TblMili[[#This Row],[Dryad]]+Races!$F$35&gt;6,(TblMili[[#This Row],[Dryad]]+Races!$F$35-6)*0.2,0) - Races!$I$19</f>
        <v>3.7500000000000009</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5.4</v>
      </c>
      <c r="CT113" s="201">
        <f ca="1">1.8 * MIN(MAX(TblMili[[#This Row],[Ice Elemental]]+Races!$E$71,Races!$F$71),6)  +  0.45 * MIN(MIN(TblMili[[#This Row],[Ice Elemental]]+Races!$E$71,Races!$F$71),6)  +  0.2 * ( MAX(TblMili[[#This Row],[Ice Elemental]]+Races!$E$71-6,0) + MAX(Races!$F$71-6,0) )  -  Races!$I$71</f>
        <v>0.10500000000000043</v>
      </c>
      <c r="CU113" s="113">
        <f ca="1">TblMili[[#This Row],[Frost Mage bonus]]*TblMili[[#This Row],[Unit 3]]+TblMili[[#This Row],[Ice Elemental bonus]]*TblMili[[#This Row],[Unit 4]]</f>
        <v>738.00000000000023</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3" s="184"/>
      <c r="DA113" s="326">
        <f ca="1">(TblMili[[#This Row],[Wizards]]+2*TblMili[[#This Row],[Archmages]])/TblConstr[[#This Row],[Land]]</f>
        <v>5.8333333333333334E-2</v>
      </c>
      <c r="DB113" s="326">
        <f ca="1">TblMili[[#This Row],[Raw (2)]]*(1+race_wizard_strength+IF(TblMili[[#This Row],[Hour]]&gt;72,tech_magical_weaponry_wiz*TblTech[[#This Row],[3-5]],0))</f>
        <v>5.8333333333333334E-2</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4924</v>
      </c>
      <c r="C114" s="203">
        <f ca="1">TblPop[[#This Row],[Military%]]</f>
        <v>0.49422864599016358</v>
      </c>
      <c r="D114" s="184"/>
      <c r="E114" s="49">
        <f ca="1">OFFSET(TblMili[[#This Row],[Unit 1]],-1,0) + OFFSET(TblMili[[#This Row],[Train Unit 1]],-9,0) - TblMili[[#This Row],[Release Unit 1]]</f>
        <v>0</v>
      </c>
      <c r="F114" s="49">
        <f ca="1">OFFSET(TblMili[[#This Row],[Unit 2]],-1,0) + OFFSET(TblMili[[#This Row],[Train Unit 2]],-9,0)-TblMili[[#This Row],[Release Unit 2]]</f>
        <v>1081</v>
      </c>
      <c r="G114" s="49">
        <f ca="1">OFFSET(TblMili[[#This Row],[Unit 3]],-1,0) + OFFSET(TblMili[[#This Row],[Train Unit 3]],-12,0)-TblMili[[#This Row],[Release Unit 3]]</f>
        <v>125</v>
      </c>
      <c r="H114" s="49">
        <f ca="1">OFFSET(TblMili[[#This Row],[Unit 4]],-1,0) + OFFSET(TblMili[[#This Row],[Train Unit 4]],-12,0)-TblMili[[#This Row],[Release Unit 4]]</f>
        <v>600</v>
      </c>
      <c r="I114" s="49">
        <f ca="1">OFFSET(TblMili[[#This Row],[Spies]],-1,0) + OFFSET(TblMili[[#This Row],[Train Spies]],-12,0) - TblMili[[#This Row],[Release Spies]]</f>
        <v>35</v>
      </c>
      <c r="J114" s="49">
        <f ca="1">OFFSET(TblMili[[#This Row],[Wizards]],-1,0) + OFFSET(TblMili[[#This Row],[Train Wiz]],-12,0) - TblMili[[#This Row],[Release Wizards]]-TblMili[[#This Row],[Train Arch]]</f>
        <v>35</v>
      </c>
      <c r="K114" s="49">
        <f ca="1">OFFSET(TblMili[[#This Row],[Archmages]],-1,0) + OFFSET(TblMili[[#This Row],[Train Arch]],-12,0) - TblMili[[#This Row],[Release Arch]]</f>
        <v>0</v>
      </c>
      <c r="L114" s="184"/>
      <c r="M114" s="113">
        <f ca="1">TblProd[[#This Row],[Networth]]</f>
        <v>29507.5</v>
      </c>
      <c r="N114" s="184"/>
      <c r="O114" s="319">
        <f ca="1">TblMili[[#This Row],[Unit 1]]*spec_op+TblMili[[#This Row],[Unit 3]]*(elite1_base_op+dark_elf*TblMili[[#This Row],[Adept]])+TblMili[[#This Row],[Unit 4]]*(elite2_base_op+icekin*TblMili[[#This Row],[Ice Elemental]]+woodie*TblMili[[#This Row],[Druid (op)]]+orc*TblMili[[#This Row],[Orc]])+kobold*TblMili[[#This Row],[Overlords]]</f>
        <v>3850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3946.2499999999995</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4" s="319">
        <f ca="1">TblMili[[#This Row],[Non Draft]]+TblMili[[#This Row],[Draftees]]</f>
        <v>8841</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5793</v>
      </c>
      <c r="V114" s="319">
        <f ca="1">TblMili[[#This Row],[Draft]] * (1 + TblMili[[#This Row],[Mods_Def]])</f>
        <v>8841</v>
      </c>
      <c r="W114" s="319">
        <f ca="1">TblConstr[[#This Row],[Land]]</f>
        <v>600</v>
      </c>
      <c r="X114" s="322"/>
      <c r="Y114" s="327">
        <f ca="1">IF(TblMili[[#This Row],[Set]]&lt;&gt;"",TblMili[[#This Row],[Set]],OFFSET(TblMili[[#This Row],[Draftrate]],-1,0))</f>
        <v>0.9</v>
      </c>
      <c r="Z114" s="113">
        <f ca="1">OFFSET(TblMili[[#This Row],[Draftees]],-1,0)+OFFSET(TblPop[[#This Row],[Draft Growth]],-1,0) - SUM(TblMili[[#This Row],[Train Unit 1]:[Train Wiz]]) - TblMili[[#This Row],[Release Draft]] + SUM(TblMili[[#This Row],[Release Unit 1]:[Release Arch]]) -TblExplore[[#This Row],[Draftees (2)]]</f>
        <v>3048</v>
      </c>
      <c r="AA114" s="200"/>
      <c r="AB114" s="234">
        <f ca="1">(TblConstr[[#This Row],[Tot Smi]]+TblConstr[[#This Row],[Dest Smi]])/(TblConstr[[#This Row],[Land]]-TblExplore[[#This Row],[Land Bonus]]*20)</f>
        <v>0.18</v>
      </c>
      <c r="AC114" s="178"/>
      <c r="AD114" s="318">
        <f>TblMili[[#This Row],[Hour]]</f>
        <v>111</v>
      </c>
      <c r="AE114" s="179">
        <f ca="1">TblExplore[[#This Row],[Time]]</f>
        <v>44409.333333333067</v>
      </c>
      <c r="AF114" s="232"/>
      <c r="AG114" s="232"/>
      <c r="AH114" s="232"/>
      <c r="AI114" s="232"/>
      <c r="AJ114" s="232"/>
      <c r="AK114" s="232"/>
      <c r="AL114" s="232"/>
      <c r="AM114" s="184"/>
      <c r="AN114" s="113">
        <f ca="1">TblProd[[#This Row],[Platinum]]</f>
        <v>1421558</v>
      </c>
      <c r="AO114" s="113">
        <f ca="1">INDEX(TblProd[[#Headers],[Lumber]]:TblProd[[#This Row],[Ore]],COUNTA(TblProd[[#Headers],[Lumber]]:TblProd[[#This Row],[Lumber]]),MATCH(Military!$AO$2,TblProd[[#Headers],[Lumber]:[Ore]],0))</f>
        <v>87590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44409.333333333067</v>
      </c>
      <c r="AT114" s="113">
        <f ca="1">TblMili[[#This Row],[Draftees]]</f>
        <v>3048</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176</v>
      </c>
      <c r="BG114" s="113">
        <f ca="1">ROUNDUP(IF(race="Gnome",1,(1-MIN(TblMili[[#This Row],[Smithies]]*smithy_bonus,smithy_bonus_cap) + tech_3_5*TblTech[[#This Row],[3-5]] + tech_5_3*TblTech[[#This Row],[5-3]] + tech_5_5*TblTech[[#This Row],[5-5]]))*spec_op_ore,0)</f>
        <v>16</v>
      </c>
      <c r="BH114" s="113">
        <f ca="1">ROUNDUP((1-MIN(TblMili[[#This Row],[Smithies]]*smithy_bonus,smithy_bonus_cap) + tech_3_5*TblTech[[#This Row],[3-5]] + tech_5_3*TblTech[[#This Row],[5-3]] + tech_5_5*TblTech[[#This Row],[5-5]])*spec_dp_plat,0)</f>
        <v>176</v>
      </c>
      <c r="BI114" s="113">
        <f ca="1">ROUNDUP(IF(race="Gnome",1,(1-MIN(TblMili[[#This Row],[Smithies]]*smithy_bonus,smithy_bonus_cap) + tech_3_5*TblTech[[#This Row],[3-5]] + tech_5_3*TblTech[[#This Row],[5-3]] + tech_5_5*TblTech[[#This Row],[5-5]]))*spec_dp_ore,0)</f>
        <v>10</v>
      </c>
      <c r="BJ114" s="113">
        <f ca="1">ROUNDUP((1-MIN(TblMili[[#This Row],[Smithies]]*smithy_bonus,smithy_bonus_cap) + tech_3_5*TblTech[[#This Row],[3-5]] + tech_5_3*TblTech[[#This Row],[5-3]] + tech_5_5*TblTech[[#This Row],[5-5]])*elite1_plat,0)</f>
        <v>656</v>
      </c>
      <c r="BK114" s="113">
        <f ca="1">ROUNDUP(IF(race="Gnome",1,(1-MIN(TblMili[[#This Row],[Smithies]]*smithy_bonus,smithy_bonus_cap) + tech_3_5*TblTech[[#This Row],[3-5]] + tech_5_3*TblTech[[#This Row],[5-3]] + tech_5_5*TblTech[[#This Row],[5-5]]))*elite1_ore,0)</f>
        <v>48</v>
      </c>
      <c r="BL114" s="113">
        <f ca="1">ROUNDUP((1-MIN(TblMili[[#This Row],[Smithies]]*smithy_bonus,smithy_bonus_cap) + tech_3_5*TblTech[[#This Row],[3-5]] + tech_5_3*TblTech[[#This Row],[5-3]] + tech_5_5*TblTech[[#This Row],[5-5]])*elite2_plat,0)</f>
        <v>800</v>
      </c>
      <c r="BM114" s="113">
        <f ca="1">ROUNDUP(IF(race="Gnome",1,(1-MIN(TblMili[[#This Row],[Smithies]]*smithy_bonus,smithy_bonus_cap) + tech_3_5*TblTech[[#This Row],[3-5]] + tech_5_3*TblTech[[#This Row],[5-3]] + tech_5_5*TblTech[[#This Row],[5-5]]))*elite2_ore,0)</f>
        <v>64</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0.75</v>
      </c>
      <c r="BS114" s="208">
        <f ca="1">TblMili[[#This Row],[WG''s]]</f>
        <v>0</v>
      </c>
      <c r="BT114" s="323">
        <f ca="1">IF(mystic_cap="none",TblMili[[#This Row],[Hill]]/mystic_bonus,MIN(mystic_cap,TblMili[[#This Row],[Hill]]/mystic_bonus))</f>
        <v>3.75</v>
      </c>
      <c r="BU114" s="323">
        <f ca="1">IF(druid_op_cap="none",TblMili[[#This Row],[Hill]]/druid_op_bonus,MIN(druid_op_cap,TblMili[[#This Row],[Hill]]/druid_op_bonus))</f>
        <v>3.75</v>
      </c>
      <c r="BV114" s="323">
        <f ca="1">IF(druid_dp_cap="none",TblMili[[#This Row],[Hill]]/druid_dp_bonus,MIN(druid_dp_cap,TblMili[[#This Row],[Hill]]/druid_dp_bonus))</f>
        <v>3.75</v>
      </c>
      <c r="BW114" s="323">
        <f ca="1">MIN(dryad_cap,TblMili[[#This Row],[Hill]]/dryad_bonus)</f>
        <v>3.75</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250</v>
      </c>
      <c r="CB114" s="124">
        <f ca="1">MIN(TblMili[[#This Row],[Unit 1]],TblMili[[#This Row],[Unit 4]])*2</f>
        <v>0</v>
      </c>
      <c r="CC114" s="323">
        <f ca="1">MIN(frost_mage_cap,TblMili[[#This Row],[Hill]]/frost_mage_bonus)</f>
        <v>3</v>
      </c>
      <c r="CD114" s="59">
        <f ca="1">MIN(ice_elem_cap,TblMili[[#This Row],[Raw (2)]]*ice_elem_bonus)</f>
        <v>5.8333333333333334E-2</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3.95</v>
      </c>
      <c r="CK11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4" s="113">
        <f ca="1">TblMili[[#This Row],[Mystic bonus]]*TblMili[[#This Row],[Unit 3]]+TblMili[[#This Row],[Druid bonus]]*TblMili[[#This Row],[Unit 4]]</f>
        <v>4836.25</v>
      </c>
      <c r="CM114" s="201">
        <f ca="1">MIN(6,TblMili[[#This Row],[Dryad]]+Races!$F$35)*1.8 +  IF(TblMili[[#This Row],[Dryad]]+Races!$F$35&gt;6,(TblMili[[#This Row],[Dryad]]+Races!$F$35-6)*0.2,0) - Races!$I$19</f>
        <v>3.7500000000000009</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5.4</v>
      </c>
      <c r="CT114" s="201">
        <f ca="1">1.8 * MIN(MAX(TblMili[[#This Row],[Ice Elemental]]+Races!$E$71,Races!$F$71),6)  +  0.45 * MIN(MIN(TblMili[[#This Row],[Ice Elemental]]+Races!$E$71,Races!$F$71),6)  +  0.2 * ( MAX(TblMili[[#This Row],[Ice Elemental]]+Races!$E$71-6,0) + MAX(Races!$F$71-6,0) )  -  Races!$I$71</f>
        <v>0.10500000000000043</v>
      </c>
      <c r="CU114" s="113">
        <f ca="1">TblMili[[#This Row],[Frost Mage bonus]]*TblMili[[#This Row],[Unit 3]]+TblMili[[#This Row],[Ice Elemental bonus]]*TblMili[[#This Row],[Unit 4]]</f>
        <v>738.00000000000023</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4" s="184"/>
      <c r="DA114" s="326">
        <f ca="1">(TblMili[[#This Row],[Wizards]]+2*TblMili[[#This Row],[Archmages]])/TblConstr[[#This Row],[Land]]</f>
        <v>5.8333333333333334E-2</v>
      </c>
      <c r="DB114" s="326">
        <f ca="1">TblMili[[#This Row],[Raw (2)]]*(1+race_wizard_strength+IF(TblMili[[#This Row],[Hour]]&gt;72,tech_magical_weaponry_wiz*TblTech[[#This Row],[3-5]],0))</f>
        <v>5.8333333333333334E-2</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4974</v>
      </c>
      <c r="C115" s="203">
        <f ca="1">TblPop[[#This Row],[Military%]]</f>
        <v>0.49924721469436917</v>
      </c>
      <c r="D115" s="184"/>
      <c r="E115" s="49">
        <f ca="1">OFFSET(TblMili[[#This Row],[Unit 1]],-1,0) + OFFSET(TblMili[[#This Row],[Train Unit 1]],-9,0) - TblMili[[#This Row],[Release Unit 1]]</f>
        <v>0</v>
      </c>
      <c r="F115" s="49">
        <f ca="1">OFFSET(TblMili[[#This Row],[Unit 2]],-1,0) + OFFSET(TblMili[[#This Row],[Train Unit 2]],-9,0)-TblMili[[#This Row],[Release Unit 2]]</f>
        <v>1081</v>
      </c>
      <c r="G115" s="49">
        <f ca="1">OFFSET(TblMili[[#This Row],[Unit 3]],-1,0) + OFFSET(TblMili[[#This Row],[Train Unit 3]],-12,0)-TblMili[[#This Row],[Release Unit 3]]</f>
        <v>125</v>
      </c>
      <c r="H115" s="49">
        <f ca="1">OFFSET(TblMili[[#This Row],[Unit 4]],-1,0) + OFFSET(TblMili[[#This Row],[Train Unit 4]],-12,0)-TblMili[[#This Row],[Release Unit 4]]</f>
        <v>600</v>
      </c>
      <c r="I115" s="49">
        <f ca="1">OFFSET(TblMili[[#This Row],[Spies]],-1,0) + OFFSET(TblMili[[#This Row],[Train Spies]],-12,0) - TblMili[[#This Row],[Release Spies]]</f>
        <v>35</v>
      </c>
      <c r="J115" s="49">
        <f ca="1">OFFSET(TblMili[[#This Row],[Wizards]],-1,0) + OFFSET(TblMili[[#This Row],[Train Wiz]],-12,0) - TblMili[[#This Row],[Release Wizards]]-TblMili[[#This Row],[Train Arch]]</f>
        <v>35</v>
      </c>
      <c r="K115" s="49">
        <f ca="1">OFFSET(TblMili[[#This Row],[Archmages]],-1,0) + OFFSET(TblMili[[#This Row],[Train Arch]],-12,0) - TblMili[[#This Row],[Release Arch]]</f>
        <v>0</v>
      </c>
      <c r="L115" s="184"/>
      <c r="M115" s="113">
        <f ca="1">TblProd[[#This Row],[Networth]]</f>
        <v>29507.5</v>
      </c>
      <c r="N115" s="184"/>
      <c r="O115" s="319">
        <f ca="1">TblMili[[#This Row],[Unit 1]]*spec_op+TblMili[[#This Row],[Unit 3]]*(elite1_base_op+dark_elf*TblMili[[#This Row],[Adept]])+TblMili[[#This Row],[Unit 4]]*(elite2_base_op+icekin*TblMili[[#This Row],[Ice Elemental]]+woodie*TblMili[[#This Row],[Druid (op)]]+orc*TblMili[[#This Row],[Orc]])+kobold*TblMili[[#This Row],[Overlords]]</f>
        <v>3850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3946.2499999999995</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5" s="319">
        <f ca="1">TblMili[[#This Row],[Non Draft]]+TblMili[[#This Row],[Draftees]]</f>
        <v>8891</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5793</v>
      </c>
      <c r="V115" s="319">
        <f ca="1">TblMili[[#This Row],[Draft]] * (1 + TblMili[[#This Row],[Mods_Def]])</f>
        <v>8891</v>
      </c>
      <c r="W115" s="319">
        <f ca="1">TblConstr[[#This Row],[Land]]</f>
        <v>600</v>
      </c>
      <c r="X115" s="322"/>
      <c r="Y115" s="327">
        <f ca="1">IF(TblMili[[#This Row],[Set]]&lt;&gt;"",TblMili[[#This Row],[Set]],OFFSET(TblMili[[#This Row],[Draftrate]],-1,0))</f>
        <v>0.9</v>
      </c>
      <c r="Z115" s="113">
        <f ca="1">OFFSET(TblMili[[#This Row],[Draftees]],-1,0)+OFFSET(TblPop[[#This Row],[Draft Growth]],-1,0) - SUM(TblMili[[#This Row],[Train Unit 1]:[Train Wiz]]) - TblMili[[#This Row],[Release Draft]] + SUM(TblMili[[#This Row],[Release Unit 1]:[Release Arch]]) -TblExplore[[#This Row],[Draftees (2)]]</f>
        <v>3098</v>
      </c>
      <c r="AA115" s="200"/>
      <c r="AB115" s="234">
        <f ca="1">(TblConstr[[#This Row],[Tot Smi]]+TblConstr[[#This Row],[Dest Smi]])/(TblConstr[[#This Row],[Land]]-TblExplore[[#This Row],[Land Bonus]]*20)</f>
        <v>0.18</v>
      </c>
      <c r="AC115" s="178"/>
      <c r="AD115" s="318">
        <f>TblMili[[#This Row],[Hour]]</f>
        <v>112</v>
      </c>
      <c r="AE115" s="179">
        <f ca="1">TblExplore[[#This Row],[Time]]</f>
        <v>44409.374999999731</v>
      </c>
      <c r="AF115" s="232"/>
      <c r="AG115" s="232"/>
      <c r="AH115" s="232"/>
      <c r="AI115" s="232"/>
      <c r="AJ115" s="232"/>
      <c r="AK115" s="232"/>
      <c r="AL115" s="232"/>
      <c r="AM115" s="184"/>
      <c r="AN115" s="113">
        <f ca="1">TblProd[[#This Row],[Platinum]]</f>
        <v>1447043</v>
      </c>
      <c r="AO115" s="113">
        <f ca="1">INDEX(TblProd[[#Headers],[Lumber]]:TblProd[[#This Row],[Ore]],COUNTA(TblProd[[#Headers],[Lumber]]:TblProd[[#This Row],[Lumber]]),MATCH(Military!$AO$2,TblProd[[#Headers],[Lumber]:[Ore]],0))</f>
        <v>89390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44409.374999999731</v>
      </c>
      <c r="AT115" s="113">
        <f ca="1">TblMili[[#This Row],[Draftees]]</f>
        <v>3098</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176</v>
      </c>
      <c r="BG115" s="113">
        <f ca="1">ROUNDUP(IF(race="Gnome",1,(1-MIN(TblMili[[#This Row],[Smithies]]*smithy_bonus,smithy_bonus_cap) + tech_3_5*TblTech[[#This Row],[3-5]] + tech_5_3*TblTech[[#This Row],[5-3]] + tech_5_5*TblTech[[#This Row],[5-5]]))*spec_op_ore,0)</f>
        <v>16</v>
      </c>
      <c r="BH115" s="113">
        <f ca="1">ROUNDUP((1-MIN(TblMili[[#This Row],[Smithies]]*smithy_bonus,smithy_bonus_cap) + tech_3_5*TblTech[[#This Row],[3-5]] + tech_5_3*TblTech[[#This Row],[5-3]] + tech_5_5*TblTech[[#This Row],[5-5]])*spec_dp_plat,0)</f>
        <v>176</v>
      </c>
      <c r="BI115" s="113">
        <f ca="1">ROUNDUP(IF(race="Gnome",1,(1-MIN(TblMili[[#This Row],[Smithies]]*smithy_bonus,smithy_bonus_cap) + tech_3_5*TblTech[[#This Row],[3-5]] + tech_5_3*TblTech[[#This Row],[5-3]] + tech_5_5*TblTech[[#This Row],[5-5]]))*spec_dp_ore,0)</f>
        <v>10</v>
      </c>
      <c r="BJ115" s="113">
        <f ca="1">ROUNDUP((1-MIN(TblMili[[#This Row],[Smithies]]*smithy_bonus,smithy_bonus_cap) + tech_3_5*TblTech[[#This Row],[3-5]] + tech_5_3*TblTech[[#This Row],[5-3]] + tech_5_5*TblTech[[#This Row],[5-5]])*elite1_plat,0)</f>
        <v>656</v>
      </c>
      <c r="BK115" s="113">
        <f ca="1">ROUNDUP(IF(race="Gnome",1,(1-MIN(TblMili[[#This Row],[Smithies]]*smithy_bonus,smithy_bonus_cap) + tech_3_5*TblTech[[#This Row],[3-5]] + tech_5_3*TblTech[[#This Row],[5-3]] + tech_5_5*TblTech[[#This Row],[5-5]]))*elite1_ore,0)</f>
        <v>48</v>
      </c>
      <c r="BL115" s="113">
        <f ca="1">ROUNDUP((1-MIN(TblMili[[#This Row],[Smithies]]*smithy_bonus,smithy_bonus_cap) + tech_3_5*TblTech[[#This Row],[3-5]] + tech_5_3*TblTech[[#This Row],[5-3]] + tech_5_5*TblTech[[#This Row],[5-5]])*elite2_plat,0)</f>
        <v>800</v>
      </c>
      <c r="BM115" s="113">
        <f ca="1">ROUNDUP(IF(race="Gnome",1,(1-MIN(TblMili[[#This Row],[Smithies]]*smithy_bonus,smithy_bonus_cap) + tech_3_5*TblTech[[#This Row],[3-5]] + tech_5_3*TblTech[[#This Row],[5-3]] + tech_5_5*TblTech[[#This Row],[5-5]]))*elite2_ore,0)</f>
        <v>64</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0.75</v>
      </c>
      <c r="BS115" s="208">
        <f ca="1">TblMili[[#This Row],[WG''s]]</f>
        <v>0</v>
      </c>
      <c r="BT115" s="323">
        <f ca="1">IF(mystic_cap="none",TblMili[[#This Row],[Hill]]/mystic_bonus,MIN(mystic_cap,TblMili[[#This Row],[Hill]]/mystic_bonus))</f>
        <v>3.75</v>
      </c>
      <c r="BU115" s="323">
        <f ca="1">IF(druid_op_cap="none",TblMili[[#This Row],[Hill]]/druid_op_bonus,MIN(druid_op_cap,TblMili[[#This Row],[Hill]]/druid_op_bonus))</f>
        <v>3.75</v>
      </c>
      <c r="BV115" s="323">
        <f ca="1">IF(druid_dp_cap="none",TblMili[[#This Row],[Hill]]/druid_dp_bonus,MIN(druid_dp_cap,TblMili[[#This Row],[Hill]]/druid_dp_bonus))</f>
        <v>3.75</v>
      </c>
      <c r="BW115" s="323">
        <f ca="1">MIN(dryad_cap,TblMili[[#This Row],[Hill]]/dryad_bonus)</f>
        <v>3.75</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250</v>
      </c>
      <c r="CB115" s="124">
        <f ca="1">MIN(TblMili[[#This Row],[Unit 1]],TblMili[[#This Row],[Unit 4]])*2</f>
        <v>0</v>
      </c>
      <c r="CC115" s="323">
        <f ca="1">MIN(frost_mage_cap,TblMili[[#This Row],[Hill]]/frost_mage_bonus)</f>
        <v>3</v>
      </c>
      <c r="CD115" s="59">
        <f ca="1">MIN(ice_elem_cap,TblMili[[#This Row],[Raw (2)]]*ice_elem_bonus)</f>
        <v>5.8333333333333334E-2</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3.95</v>
      </c>
      <c r="CK11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5" s="113">
        <f ca="1">TblMili[[#This Row],[Mystic bonus]]*TblMili[[#This Row],[Unit 3]]+TblMili[[#This Row],[Druid bonus]]*TblMili[[#This Row],[Unit 4]]</f>
        <v>4836.25</v>
      </c>
      <c r="CM115" s="201">
        <f ca="1">MIN(6,TblMili[[#This Row],[Dryad]]+Races!$F$35)*1.8 +  IF(TblMili[[#This Row],[Dryad]]+Races!$F$35&gt;6,(TblMili[[#This Row],[Dryad]]+Races!$F$35-6)*0.2,0) - Races!$I$19</f>
        <v>3.7500000000000009</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5.4</v>
      </c>
      <c r="CT115" s="201">
        <f ca="1">1.8 * MIN(MAX(TblMili[[#This Row],[Ice Elemental]]+Races!$E$71,Races!$F$71),6)  +  0.45 * MIN(MIN(TblMili[[#This Row],[Ice Elemental]]+Races!$E$71,Races!$F$71),6)  +  0.2 * ( MAX(TblMili[[#This Row],[Ice Elemental]]+Races!$E$71-6,0) + MAX(Races!$F$71-6,0) )  -  Races!$I$71</f>
        <v>0.10500000000000043</v>
      </c>
      <c r="CU115" s="113">
        <f ca="1">TblMili[[#This Row],[Frost Mage bonus]]*TblMili[[#This Row],[Unit 3]]+TblMili[[#This Row],[Ice Elemental bonus]]*TblMili[[#This Row],[Unit 4]]</f>
        <v>738.00000000000023</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5" s="184"/>
      <c r="DA115" s="326">
        <f ca="1">(TblMili[[#This Row],[Wizards]]+2*TblMili[[#This Row],[Archmages]])/TblConstr[[#This Row],[Land]]</f>
        <v>5.8333333333333334E-2</v>
      </c>
      <c r="DB115" s="326">
        <f ca="1">TblMili[[#This Row],[Raw (2)]]*(1+race_wizard_strength+IF(TblMili[[#This Row],[Hour]]&gt;72,tech_magical_weaponry_wiz*TblTech[[#This Row],[3-5]],0))</f>
        <v>5.8333333333333334E-2</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5024</v>
      </c>
      <c r="C116" s="203">
        <f ca="1">TblPop[[#This Row],[Military%]]</f>
        <v>0.50426578339857475</v>
      </c>
      <c r="D116" s="184"/>
      <c r="E116" s="49">
        <f ca="1">OFFSET(TblMili[[#This Row],[Unit 1]],-1,0) + OFFSET(TblMili[[#This Row],[Train Unit 1]],-9,0) - TblMili[[#This Row],[Release Unit 1]]</f>
        <v>0</v>
      </c>
      <c r="F116" s="49">
        <f ca="1">OFFSET(TblMili[[#This Row],[Unit 2]],-1,0) + OFFSET(TblMili[[#This Row],[Train Unit 2]],-9,0)-TblMili[[#This Row],[Release Unit 2]]</f>
        <v>1081</v>
      </c>
      <c r="G116" s="49">
        <f ca="1">OFFSET(TblMili[[#This Row],[Unit 3]],-1,0) + OFFSET(TblMili[[#This Row],[Train Unit 3]],-12,0)-TblMili[[#This Row],[Release Unit 3]]</f>
        <v>125</v>
      </c>
      <c r="H116" s="49">
        <f ca="1">OFFSET(TblMili[[#This Row],[Unit 4]],-1,0) + OFFSET(TblMili[[#This Row],[Train Unit 4]],-12,0)-TblMili[[#This Row],[Release Unit 4]]</f>
        <v>600</v>
      </c>
      <c r="I116" s="49">
        <f ca="1">OFFSET(TblMili[[#This Row],[Spies]],-1,0) + OFFSET(TblMili[[#This Row],[Train Spies]],-12,0) - TblMili[[#This Row],[Release Spies]]</f>
        <v>35</v>
      </c>
      <c r="J116" s="49">
        <f ca="1">OFFSET(TblMili[[#This Row],[Wizards]],-1,0) + OFFSET(TblMili[[#This Row],[Train Wiz]],-12,0) - TblMili[[#This Row],[Release Wizards]]-TblMili[[#This Row],[Train Arch]]</f>
        <v>35</v>
      </c>
      <c r="K116" s="49">
        <f ca="1">OFFSET(TblMili[[#This Row],[Archmages]],-1,0) + OFFSET(TblMili[[#This Row],[Train Arch]],-12,0) - TblMili[[#This Row],[Release Arch]]</f>
        <v>0</v>
      </c>
      <c r="L116" s="184"/>
      <c r="M116" s="113">
        <f ca="1">TblProd[[#This Row],[Networth]]</f>
        <v>29507.5</v>
      </c>
      <c r="N116" s="184"/>
      <c r="O116" s="319">
        <f ca="1">TblMili[[#This Row],[Unit 1]]*spec_op+TblMili[[#This Row],[Unit 3]]*(elite1_base_op+dark_elf*TblMili[[#This Row],[Adept]])+TblMili[[#This Row],[Unit 4]]*(elite2_base_op+icekin*TblMili[[#This Row],[Ice Elemental]]+woodie*TblMili[[#This Row],[Druid (op)]]+orc*TblMili[[#This Row],[Orc]])+kobold*TblMili[[#This Row],[Overlords]]</f>
        <v>3850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3946.2499999999995</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6" s="319">
        <f ca="1">TblMili[[#This Row],[Non Draft]]+TblMili[[#This Row],[Draftees]]</f>
        <v>8941</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5793</v>
      </c>
      <c r="V116" s="319">
        <f ca="1">TblMili[[#This Row],[Draft]] * (1 + TblMili[[#This Row],[Mods_Def]])</f>
        <v>8941</v>
      </c>
      <c r="W116" s="319">
        <f ca="1">TblConstr[[#This Row],[Land]]</f>
        <v>600</v>
      </c>
      <c r="X116" s="322"/>
      <c r="Y116" s="327">
        <f ca="1">IF(TblMili[[#This Row],[Set]]&lt;&gt;"",TblMili[[#This Row],[Set]],OFFSET(TblMili[[#This Row],[Draftrate]],-1,0))</f>
        <v>0.9</v>
      </c>
      <c r="Z116" s="113">
        <f ca="1">OFFSET(TblMili[[#This Row],[Draftees]],-1,0)+OFFSET(TblPop[[#This Row],[Draft Growth]],-1,0) - SUM(TblMili[[#This Row],[Train Unit 1]:[Train Wiz]]) - TblMili[[#This Row],[Release Draft]] + SUM(TblMili[[#This Row],[Release Unit 1]:[Release Arch]]) -TblExplore[[#This Row],[Draftees (2)]]</f>
        <v>3148</v>
      </c>
      <c r="AA116" s="200"/>
      <c r="AB116" s="234">
        <f ca="1">(TblConstr[[#This Row],[Tot Smi]]+TblConstr[[#This Row],[Dest Smi]])/(TblConstr[[#This Row],[Land]]-TblExplore[[#This Row],[Land Bonus]]*20)</f>
        <v>0.18</v>
      </c>
      <c r="AC116" s="178"/>
      <c r="AD116" s="318">
        <f>TblMili[[#This Row],[Hour]]</f>
        <v>113</v>
      </c>
      <c r="AE116" s="179">
        <f ca="1">TblExplore[[#This Row],[Time]]</f>
        <v>44409.416666666395</v>
      </c>
      <c r="AF116" s="232"/>
      <c r="AG116" s="232"/>
      <c r="AH116" s="232"/>
      <c r="AI116" s="232"/>
      <c r="AJ116" s="232"/>
      <c r="AK116" s="232"/>
      <c r="AL116" s="232"/>
      <c r="AM116" s="184"/>
      <c r="AN116" s="113">
        <f ca="1">TblProd[[#This Row],[Platinum]]</f>
        <v>1472393</v>
      </c>
      <c r="AO116" s="113">
        <f ca="1">INDEX(TblProd[[#Headers],[Lumber]]:TblProd[[#This Row],[Ore]],COUNTA(TblProd[[#Headers],[Lumber]]:TblProd[[#This Row],[Lumber]]),MATCH(Military!$AO$2,TblProd[[#Headers],[Lumber]:[Ore]],0))</f>
        <v>91190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44409.416666666395</v>
      </c>
      <c r="AT116" s="113">
        <f ca="1">TblMili[[#This Row],[Draftees]]</f>
        <v>3148</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176</v>
      </c>
      <c r="BG116" s="113">
        <f ca="1">ROUNDUP(IF(race="Gnome",1,(1-MIN(TblMili[[#This Row],[Smithies]]*smithy_bonus,smithy_bonus_cap) + tech_3_5*TblTech[[#This Row],[3-5]] + tech_5_3*TblTech[[#This Row],[5-3]] + tech_5_5*TblTech[[#This Row],[5-5]]))*spec_op_ore,0)</f>
        <v>16</v>
      </c>
      <c r="BH116" s="113">
        <f ca="1">ROUNDUP((1-MIN(TblMili[[#This Row],[Smithies]]*smithy_bonus,smithy_bonus_cap) + tech_3_5*TblTech[[#This Row],[3-5]] + tech_5_3*TblTech[[#This Row],[5-3]] + tech_5_5*TblTech[[#This Row],[5-5]])*spec_dp_plat,0)</f>
        <v>176</v>
      </c>
      <c r="BI116" s="113">
        <f ca="1">ROUNDUP(IF(race="Gnome",1,(1-MIN(TblMili[[#This Row],[Smithies]]*smithy_bonus,smithy_bonus_cap) + tech_3_5*TblTech[[#This Row],[3-5]] + tech_5_3*TblTech[[#This Row],[5-3]] + tech_5_5*TblTech[[#This Row],[5-5]]))*spec_dp_ore,0)</f>
        <v>10</v>
      </c>
      <c r="BJ116" s="113">
        <f ca="1">ROUNDUP((1-MIN(TblMili[[#This Row],[Smithies]]*smithy_bonus,smithy_bonus_cap) + tech_3_5*TblTech[[#This Row],[3-5]] + tech_5_3*TblTech[[#This Row],[5-3]] + tech_5_5*TblTech[[#This Row],[5-5]])*elite1_plat,0)</f>
        <v>656</v>
      </c>
      <c r="BK116" s="113">
        <f ca="1">ROUNDUP(IF(race="Gnome",1,(1-MIN(TblMili[[#This Row],[Smithies]]*smithy_bonus,smithy_bonus_cap) + tech_3_5*TblTech[[#This Row],[3-5]] + tech_5_3*TblTech[[#This Row],[5-3]] + tech_5_5*TblTech[[#This Row],[5-5]]))*elite1_ore,0)</f>
        <v>48</v>
      </c>
      <c r="BL116" s="113">
        <f ca="1">ROUNDUP((1-MIN(TblMili[[#This Row],[Smithies]]*smithy_bonus,smithy_bonus_cap) + tech_3_5*TblTech[[#This Row],[3-5]] + tech_5_3*TblTech[[#This Row],[5-3]] + tech_5_5*TblTech[[#This Row],[5-5]])*elite2_plat,0)</f>
        <v>800</v>
      </c>
      <c r="BM116" s="113">
        <f ca="1">ROUNDUP(IF(race="Gnome",1,(1-MIN(TblMili[[#This Row],[Smithies]]*smithy_bonus,smithy_bonus_cap) + tech_3_5*TblTech[[#This Row],[3-5]] + tech_5_3*TblTech[[#This Row],[5-3]] + tech_5_5*TblTech[[#This Row],[5-5]]))*elite2_ore,0)</f>
        <v>64</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0.75</v>
      </c>
      <c r="BS116" s="208">
        <f ca="1">TblMili[[#This Row],[WG''s]]</f>
        <v>0</v>
      </c>
      <c r="BT116" s="323">
        <f ca="1">IF(mystic_cap="none",TblMili[[#This Row],[Hill]]/mystic_bonus,MIN(mystic_cap,TblMili[[#This Row],[Hill]]/mystic_bonus))</f>
        <v>3.75</v>
      </c>
      <c r="BU116" s="323">
        <f ca="1">IF(druid_op_cap="none",TblMili[[#This Row],[Hill]]/druid_op_bonus,MIN(druid_op_cap,TblMili[[#This Row],[Hill]]/druid_op_bonus))</f>
        <v>3.75</v>
      </c>
      <c r="BV116" s="323">
        <f ca="1">IF(druid_dp_cap="none",TblMili[[#This Row],[Hill]]/druid_dp_bonus,MIN(druid_dp_cap,TblMili[[#This Row],[Hill]]/druid_dp_bonus))</f>
        <v>3.75</v>
      </c>
      <c r="BW116" s="323">
        <f ca="1">MIN(dryad_cap,TblMili[[#This Row],[Hill]]/dryad_bonus)</f>
        <v>3.75</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250</v>
      </c>
      <c r="CB116" s="124">
        <f ca="1">MIN(TblMili[[#This Row],[Unit 1]],TblMili[[#This Row],[Unit 4]])*2</f>
        <v>0</v>
      </c>
      <c r="CC116" s="323">
        <f ca="1">MIN(frost_mage_cap,TblMili[[#This Row],[Hill]]/frost_mage_bonus)</f>
        <v>3</v>
      </c>
      <c r="CD116" s="59">
        <f ca="1">MIN(ice_elem_cap,TblMili[[#This Row],[Raw (2)]]*ice_elem_bonus)</f>
        <v>5.8333333333333334E-2</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3.95</v>
      </c>
      <c r="CK11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6" s="113">
        <f ca="1">TblMili[[#This Row],[Mystic bonus]]*TblMili[[#This Row],[Unit 3]]+TblMili[[#This Row],[Druid bonus]]*TblMili[[#This Row],[Unit 4]]</f>
        <v>4836.25</v>
      </c>
      <c r="CM116" s="201">
        <f ca="1">MIN(6,TblMili[[#This Row],[Dryad]]+Races!$F$35)*1.8 +  IF(TblMili[[#This Row],[Dryad]]+Races!$F$35&gt;6,(TblMili[[#This Row],[Dryad]]+Races!$F$35-6)*0.2,0) - Races!$I$19</f>
        <v>3.7500000000000009</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5.4</v>
      </c>
      <c r="CT116" s="201">
        <f ca="1">1.8 * MIN(MAX(TblMili[[#This Row],[Ice Elemental]]+Races!$E$71,Races!$F$71),6)  +  0.45 * MIN(MIN(TblMili[[#This Row],[Ice Elemental]]+Races!$E$71,Races!$F$71),6)  +  0.2 * ( MAX(TblMili[[#This Row],[Ice Elemental]]+Races!$E$71-6,0) + MAX(Races!$F$71-6,0) )  -  Races!$I$71</f>
        <v>0.10500000000000043</v>
      </c>
      <c r="CU116" s="113">
        <f ca="1">TblMili[[#This Row],[Frost Mage bonus]]*TblMili[[#This Row],[Unit 3]]+TblMili[[#This Row],[Ice Elemental bonus]]*TblMili[[#This Row],[Unit 4]]</f>
        <v>738.00000000000023</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6" s="184"/>
      <c r="DA116" s="326">
        <f ca="1">(TblMili[[#This Row],[Wizards]]+2*TblMili[[#This Row],[Archmages]])/TblConstr[[#This Row],[Land]]</f>
        <v>5.8333333333333334E-2</v>
      </c>
      <c r="DB116" s="326">
        <f ca="1">TblMili[[#This Row],[Raw (2)]]*(1+race_wizard_strength+IF(TblMili[[#This Row],[Hour]]&gt;72,tech_magical_weaponry_wiz*TblTech[[#This Row],[3-5]],0))</f>
        <v>5.8333333333333334E-2</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5073</v>
      </c>
      <c r="C117" s="203">
        <f ca="1">TblPop[[#This Row],[Military%]]</f>
        <v>0.50918398072869619</v>
      </c>
      <c r="D117" s="184"/>
      <c r="E117" s="49">
        <f ca="1">OFFSET(TblMili[[#This Row],[Unit 1]],-1,0) + OFFSET(TblMili[[#This Row],[Train Unit 1]],-9,0) - TblMili[[#This Row],[Release Unit 1]]</f>
        <v>0</v>
      </c>
      <c r="F117" s="49">
        <f ca="1">OFFSET(TblMili[[#This Row],[Unit 2]],-1,0) + OFFSET(TblMili[[#This Row],[Train Unit 2]],-9,0)-TblMili[[#This Row],[Release Unit 2]]</f>
        <v>1081</v>
      </c>
      <c r="G117" s="49">
        <f ca="1">OFFSET(TblMili[[#This Row],[Unit 3]],-1,0) + OFFSET(TblMili[[#This Row],[Train Unit 3]],-12,0)-TblMili[[#This Row],[Release Unit 3]]</f>
        <v>125</v>
      </c>
      <c r="H117" s="49">
        <f ca="1">OFFSET(TblMili[[#This Row],[Unit 4]],-1,0) + OFFSET(TblMili[[#This Row],[Train Unit 4]],-12,0)-TblMili[[#This Row],[Release Unit 4]]</f>
        <v>600</v>
      </c>
      <c r="I117" s="49">
        <f ca="1">OFFSET(TblMili[[#This Row],[Spies]],-1,0) + OFFSET(TblMili[[#This Row],[Train Spies]],-12,0) - TblMili[[#This Row],[Release Spies]]</f>
        <v>35</v>
      </c>
      <c r="J117" s="49">
        <f ca="1">OFFSET(TblMili[[#This Row],[Wizards]],-1,0) + OFFSET(TblMili[[#This Row],[Train Wiz]],-12,0) - TblMili[[#This Row],[Release Wizards]]-TblMili[[#This Row],[Train Arch]]</f>
        <v>35</v>
      </c>
      <c r="K117" s="49">
        <f ca="1">OFFSET(TblMili[[#This Row],[Archmages]],-1,0) + OFFSET(TblMili[[#This Row],[Train Arch]],-12,0) - TblMili[[#This Row],[Release Arch]]</f>
        <v>0</v>
      </c>
      <c r="L117" s="184"/>
      <c r="M117" s="113">
        <f ca="1">TblProd[[#This Row],[Networth]]</f>
        <v>29507.5</v>
      </c>
      <c r="N117" s="184"/>
      <c r="O117" s="319">
        <f ca="1">TblMili[[#This Row],[Unit 1]]*spec_op+TblMili[[#This Row],[Unit 3]]*(elite1_base_op+dark_elf*TblMili[[#This Row],[Adept]])+TblMili[[#This Row],[Unit 4]]*(elite2_base_op+icekin*TblMili[[#This Row],[Ice Elemental]]+woodie*TblMili[[#This Row],[Druid (op)]]+orc*TblMili[[#This Row],[Orc]])+kobold*TblMili[[#This Row],[Overlords]]</f>
        <v>3850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3946.2499999999995</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7" s="319">
        <f ca="1">TblMili[[#This Row],[Non Draft]]+TblMili[[#This Row],[Draftees]]</f>
        <v>8990</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5793</v>
      </c>
      <c r="V117" s="319">
        <f ca="1">TblMili[[#This Row],[Draft]] * (1 + TblMili[[#This Row],[Mods_Def]])</f>
        <v>8990</v>
      </c>
      <c r="W117" s="319">
        <f ca="1">TblConstr[[#This Row],[Land]]</f>
        <v>600</v>
      </c>
      <c r="X117" s="322"/>
      <c r="Y117" s="327">
        <f ca="1">IF(TblMili[[#This Row],[Set]]&lt;&gt;"",TblMili[[#This Row],[Set]],OFFSET(TblMili[[#This Row],[Draftrate]],-1,0))</f>
        <v>0.9</v>
      </c>
      <c r="Z117" s="113">
        <f ca="1">OFFSET(TblMili[[#This Row],[Draftees]],-1,0)+OFFSET(TblPop[[#This Row],[Draft Growth]],-1,0) - SUM(TblMili[[#This Row],[Train Unit 1]:[Train Wiz]]) - TblMili[[#This Row],[Release Draft]] + SUM(TblMili[[#This Row],[Release Unit 1]:[Release Arch]]) -TblExplore[[#This Row],[Draftees (2)]]</f>
        <v>3197</v>
      </c>
      <c r="AA117" s="200"/>
      <c r="AB117" s="234">
        <f ca="1">(TblConstr[[#This Row],[Tot Smi]]+TblConstr[[#This Row],[Dest Smi]])/(TblConstr[[#This Row],[Land]]-TblExplore[[#This Row],[Land Bonus]]*20)</f>
        <v>0.18</v>
      </c>
      <c r="AC117" s="178"/>
      <c r="AD117" s="318">
        <f>TblMili[[#This Row],[Hour]]</f>
        <v>114</v>
      </c>
      <c r="AE117" s="179">
        <f ca="1">TblExplore[[#This Row],[Time]]</f>
        <v>44409.458333333059</v>
      </c>
      <c r="AF117" s="232"/>
      <c r="AG117" s="232"/>
      <c r="AH117" s="232"/>
      <c r="AI117" s="232"/>
      <c r="AJ117" s="232"/>
      <c r="AK117" s="232"/>
      <c r="AL117" s="232"/>
      <c r="AM117" s="184"/>
      <c r="AN117" s="113">
        <f ca="1">TblProd[[#This Row],[Platinum]]</f>
        <v>1497608</v>
      </c>
      <c r="AO117" s="113">
        <f ca="1">INDEX(TblProd[[#Headers],[Lumber]]:TblProd[[#This Row],[Ore]],COUNTA(TblProd[[#Headers],[Lumber]]:TblProd[[#This Row],[Lumber]]),MATCH(Military!$AO$2,TblProd[[#Headers],[Lumber]:[Ore]],0))</f>
        <v>92990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44409.458333333059</v>
      </c>
      <c r="AT117" s="113">
        <f ca="1">TblMili[[#This Row],[Draftees]]</f>
        <v>3197</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176</v>
      </c>
      <c r="BG117" s="113">
        <f ca="1">ROUNDUP(IF(race="Gnome",1,(1-MIN(TblMili[[#This Row],[Smithies]]*smithy_bonus,smithy_bonus_cap) + tech_3_5*TblTech[[#This Row],[3-5]] + tech_5_3*TblTech[[#This Row],[5-3]] + tech_5_5*TblTech[[#This Row],[5-5]]))*spec_op_ore,0)</f>
        <v>16</v>
      </c>
      <c r="BH117" s="113">
        <f ca="1">ROUNDUP((1-MIN(TblMili[[#This Row],[Smithies]]*smithy_bonus,smithy_bonus_cap) + tech_3_5*TblTech[[#This Row],[3-5]] + tech_5_3*TblTech[[#This Row],[5-3]] + tech_5_5*TblTech[[#This Row],[5-5]])*spec_dp_plat,0)</f>
        <v>176</v>
      </c>
      <c r="BI117" s="113">
        <f ca="1">ROUNDUP(IF(race="Gnome",1,(1-MIN(TblMili[[#This Row],[Smithies]]*smithy_bonus,smithy_bonus_cap) + tech_3_5*TblTech[[#This Row],[3-5]] + tech_5_3*TblTech[[#This Row],[5-3]] + tech_5_5*TblTech[[#This Row],[5-5]]))*spec_dp_ore,0)</f>
        <v>10</v>
      </c>
      <c r="BJ117" s="113">
        <f ca="1">ROUNDUP((1-MIN(TblMili[[#This Row],[Smithies]]*smithy_bonus,smithy_bonus_cap) + tech_3_5*TblTech[[#This Row],[3-5]] + tech_5_3*TblTech[[#This Row],[5-3]] + tech_5_5*TblTech[[#This Row],[5-5]])*elite1_plat,0)</f>
        <v>656</v>
      </c>
      <c r="BK117" s="113">
        <f ca="1">ROUNDUP(IF(race="Gnome",1,(1-MIN(TblMili[[#This Row],[Smithies]]*smithy_bonus,smithy_bonus_cap) + tech_3_5*TblTech[[#This Row],[3-5]] + tech_5_3*TblTech[[#This Row],[5-3]] + tech_5_5*TblTech[[#This Row],[5-5]]))*elite1_ore,0)</f>
        <v>48</v>
      </c>
      <c r="BL117" s="113">
        <f ca="1">ROUNDUP((1-MIN(TblMili[[#This Row],[Smithies]]*smithy_bonus,smithy_bonus_cap) + tech_3_5*TblTech[[#This Row],[3-5]] + tech_5_3*TblTech[[#This Row],[5-3]] + tech_5_5*TblTech[[#This Row],[5-5]])*elite2_plat,0)</f>
        <v>800</v>
      </c>
      <c r="BM117" s="113">
        <f ca="1">ROUNDUP(IF(race="Gnome",1,(1-MIN(TblMili[[#This Row],[Smithies]]*smithy_bonus,smithy_bonus_cap) + tech_3_5*TblTech[[#This Row],[3-5]] + tech_5_3*TblTech[[#This Row],[5-3]] + tech_5_5*TblTech[[#This Row],[5-5]]))*elite2_ore,0)</f>
        <v>64</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0.75</v>
      </c>
      <c r="BS117" s="208">
        <f ca="1">TblMili[[#This Row],[WG''s]]</f>
        <v>0</v>
      </c>
      <c r="BT117" s="323">
        <f ca="1">IF(mystic_cap="none",TblMili[[#This Row],[Hill]]/mystic_bonus,MIN(mystic_cap,TblMili[[#This Row],[Hill]]/mystic_bonus))</f>
        <v>3.75</v>
      </c>
      <c r="BU117" s="323">
        <f ca="1">IF(druid_op_cap="none",TblMili[[#This Row],[Hill]]/druid_op_bonus,MIN(druid_op_cap,TblMili[[#This Row],[Hill]]/druid_op_bonus))</f>
        <v>3.75</v>
      </c>
      <c r="BV117" s="323">
        <f ca="1">IF(druid_dp_cap="none",TblMili[[#This Row],[Hill]]/druid_dp_bonus,MIN(druid_dp_cap,TblMili[[#This Row],[Hill]]/druid_dp_bonus))</f>
        <v>3.75</v>
      </c>
      <c r="BW117" s="323">
        <f ca="1">MIN(dryad_cap,TblMili[[#This Row],[Hill]]/dryad_bonus)</f>
        <v>3.75</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250</v>
      </c>
      <c r="CB117" s="124">
        <f ca="1">MIN(TblMili[[#This Row],[Unit 1]],TblMili[[#This Row],[Unit 4]])*2</f>
        <v>0</v>
      </c>
      <c r="CC117" s="323">
        <f ca="1">MIN(frost_mage_cap,TblMili[[#This Row],[Hill]]/frost_mage_bonus)</f>
        <v>3</v>
      </c>
      <c r="CD117" s="59">
        <f ca="1">MIN(ice_elem_cap,TblMili[[#This Row],[Raw (2)]]*ice_elem_bonus)</f>
        <v>5.8333333333333334E-2</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3.95</v>
      </c>
      <c r="CK11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7" s="113">
        <f ca="1">TblMili[[#This Row],[Mystic bonus]]*TblMili[[#This Row],[Unit 3]]+TblMili[[#This Row],[Druid bonus]]*TblMili[[#This Row],[Unit 4]]</f>
        <v>4836.25</v>
      </c>
      <c r="CM117" s="201">
        <f ca="1">MIN(6,TblMili[[#This Row],[Dryad]]+Races!$F$35)*1.8 +  IF(TblMili[[#This Row],[Dryad]]+Races!$F$35&gt;6,(TblMili[[#This Row],[Dryad]]+Races!$F$35-6)*0.2,0) - Races!$I$19</f>
        <v>3.7500000000000009</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5.4</v>
      </c>
      <c r="CT117" s="201">
        <f ca="1">1.8 * MIN(MAX(TblMili[[#This Row],[Ice Elemental]]+Races!$E$71,Races!$F$71),6)  +  0.45 * MIN(MIN(TblMili[[#This Row],[Ice Elemental]]+Races!$E$71,Races!$F$71),6)  +  0.2 * ( MAX(TblMili[[#This Row],[Ice Elemental]]+Races!$E$71-6,0) + MAX(Races!$F$71-6,0) )  -  Races!$I$71</f>
        <v>0.10500000000000043</v>
      </c>
      <c r="CU117" s="113">
        <f ca="1">TblMili[[#This Row],[Frost Mage bonus]]*TblMili[[#This Row],[Unit 3]]+TblMili[[#This Row],[Ice Elemental bonus]]*TblMili[[#This Row],[Unit 4]]</f>
        <v>738.00000000000023</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7" s="184"/>
      <c r="DA117" s="326">
        <f ca="1">(TblMili[[#This Row],[Wizards]]+2*TblMili[[#This Row],[Archmages]])/TblConstr[[#This Row],[Land]]</f>
        <v>5.8333333333333334E-2</v>
      </c>
      <c r="DB117" s="326">
        <f ca="1">TblMili[[#This Row],[Raw (2)]]*(1+race_wizard_strength+IF(TblMili[[#This Row],[Hour]]&gt;72,tech_magical_weaponry_wiz*TblTech[[#This Row],[3-5]],0))</f>
        <v>5.8333333333333334E-2</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5122</v>
      </c>
      <c r="C118" s="203">
        <f ca="1">TblPop[[#This Row],[Military%]]</f>
        <v>0.51410217805881764</v>
      </c>
      <c r="D118" s="184"/>
      <c r="E118" s="49">
        <f ca="1">OFFSET(TblMili[[#This Row],[Unit 1]],-1,0) + OFFSET(TblMili[[#This Row],[Train Unit 1]],-9,0) - TblMili[[#This Row],[Release Unit 1]]</f>
        <v>0</v>
      </c>
      <c r="F118" s="49">
        <f ca="1">OFFSET(TblMili[[#This Row],[Unit 2]],-1,0) + OFFSET(TblMili[[#This Row],[Train Unit 2]],-9,0)-TblMili[[#This Row],[Release Unit 2]]</f>
        <v>1081</v>
      </c>
      <c r="G118" s="49">
        <f ca="1">OFFSET(TblMili[[#This Row],[Unit 3]],-1,0) + OFFSET(TblMili[[#This Row],[Train Unit 3]],-12,0)-TblMili[[#This Row],[Release Unit 3]]</f>
        <v>125</v>
      </c>
      <c r="H118" s="49">
        <f ca="1">OFFSET(TblMili[[#This Row],[Unit 4]],-1,0) + OFFSET(TblMili[[#This Row],[Train Unit 4]],-12,0)-TblMili[[#This Row],[Release Unit 4]]</f>
        <v>600</v>
      </c>
      <c r="I118" s="49">
        <f ca="1">OFFSET(TblMili[[#This Row],[Spies]],-1,0) + OFFSET(TblMili[[#This Row],[Train Spies]],-12,0) - TblMili[[#This Row],[Release Spies]]</f>
        <v>35</v>
      </c>
      <c r="J118" s="49">
        <f ca="1">OFFSET(TblMili[[#This Row],[Wizards]],-1,0) + OFFSET(TblMili[[#This Row],[Train Wiz]],-12,0) - TblMili[[#This Row],[Release Wizards]]-TblMili[[#This Row],[Train Arch]]</f>
        <v>35</v>
      </c>
      <c r="K118" s="49">
        <f ca="1">OFFSET(TblMili[[#This Row],[Archmages]],-1,0) + OFFSET(TblMili[[#This Row],[Train Arch]],-12,0) - TblMili[[#This Row],[Release Arch]]</f>
        <v>0</v>
      </c>
      <c r="L118" s="184"/>
      <c r="M118" s="113">
        <f ca="1">TblProd[[#This Row],[Networth]]</f>
        <v>29507.5</v>
      </c>
      <c r="N118" s="184"/>
      <c r="O118" s="319">
        <f ca="1">TblMili[[#This Row],[Unit 1]]*spec_op+TblMili[[#This Row],[Unit 3]]*(elite1_base_op+dark_elf*TblMili[[#This Row],[Adept]])+TblMili[[#This Row],[Unit 4]]*(elite2_base_op+icekin*TblMili[[#This Row],[Ice Elemental]]+woodie*TblMili[[#This Row],[Druid (op)]]+orc*TblMili[[#This Row],[Orc]])+kobold*TblMili[[#This Row],[Overlords]]</f>
        <v>3850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3946.2499999999995</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8" s="319">
        <f ca="1">TblMili[[#This Row],[Non Draft]]+TblMili[[#This Row],[Draftees]]</f>
        <v>9039</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5793</v>
      </c>
      <c r="V118" s="319">
        <f ca="1">TblMili[[#This Row],[Draft]] * (1 + TblMili[[#This Row],[Mods_Def]])</f>
        <v>9039</v>
      </c>
      <c r="W118" s="319">
        <f ca="1">TblConstr[[#This Row],[Land]]</f>
        <v>600</v>
      </c>
      <c r="X118" s="322"/>
      <c r="Y118" s="327">
        <f ca="1">IF(TblMili[[#This Row],[Set]]&lt;&gt;"",TblMili[[#This Row],[Set]],OFFSET(TblMili[[#This Row],[Draftrate]],-1,0))</f>
        <v>0.9</v>
      </c>
      <c r="Z118" s="113">
        <f ca="1">OFFSET(TblMili[[#This Row],[Draftees]],-1,0)+OFFSET(TblPop[[#This Row],[Draft Growth]],-1,0) - SUM(TblMili[[#This Row],[Train Unit 1]:[Train Wiz]]) - TblMili[[#This Row],[Release Draft]] + SUM(TblMili[[#This Row],[Release Unit 1]:[Release Arch]]) -TblExplore[[#This Row],[Draftees (2)]]</f>
        <v>3246</v>
      </c>
      <c r="AA118" s="200"/>
      <c r="AB118" s="234">
        <f ca="1">(TblConstr[[#This Row],[Tot Smi]]+TblConstr[[#This Row],[Dest Smi]])/(TblConstr[[#This Row],[Land]]-TblExplore[[#This Row],[Land Bonus]]*20)</f>
        <v>0.18</v>
      </c>
      <c r="AC118" s="178"/>
      <c r="AD118" s="318">
        <f>TblMili[[#This Row],[Hour]]</f>
        <v>115</v>
      </c>
      <c r="AE118" s="179">
        <f ca="1">TblExplore[[#This Row],[Time]]</f>
        <v>44409.499999999724</v>
      </c>
      <c r="AF118" s="232"/>
      <c r="AG118" s="232"/>
      <c r="AH118" s="232"/>
      <c r="AI118" s="232"/>
      <c r="AJ118" s="232"/>
      <c r="AK118" s="232"/>
      <c r="AL118" s="232"/>
      <c r="AM118" s="184"/>
      <c r="AN118" s="113">
        <f ca="1">TblProd[[#This Row],[Platinum]]</f>
        <v>1522691</v>
      </c>
      <c r="AO118" s="113">
        <f ca="1">INDEX(TblProd[[#Headers],[Lumber]]:TblProd[[#This Row],[Ore]],COUNTA(TblProd[[#Headers],[Lumber]]:TblProd[[#This Row],[Lumber]]),MATCH(Military!$AO$2,TblProd[[#Headers],[Lumber]:[Ore]],0))</f>
        <v>94790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44409.499999999724</v>
      </c>
      <c r="AT118" s="113">
        <f ca="1">TblMili[[#This Row],[Draftees]]</f>
        <v>3246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176</v>
      </c>
      <c r="BG118" s="113">
        <f ca="1">ROUNDUP(IF(race="Gnome",1,(1-MIN(TblMili[[#This Row],[Smithies]]*smithy_bonus,smithy_bonus_cap) + tech_3_5*TblTech[[#This Row],[3-5]] + tech_5_3*TblTech[[#This Row],[5-3]] + tech_5_5*TblTech[[#This Row],[5-5]]))*spec_op_ore,0)</f>
        <v>16</v>
      </c>
      <c r="BH118" s="113">
        <f ca="1">ROUNDUP((1-MIN(TblMili[[#This Row],[Smithies]]*smithy_bonus,smithy_bonus_cap) + tech_3_5*TblTech[[#This Row],[3-5]] + tech_5_3*TblTech[[#This Row],[5-3]] + tech_5_5*TblTech[[#This Row],[5-5]])*spec_dp_plat,0)</f>
        <v>176</v>
      </c>
      <c r="BI118" s="113">
        <f ca="1">ROUNDUP(IF(race="Gnome",1,(1-MIN(TblMili[[#This Row],[Smithies]]*smithy_bonus,smithy_bonus_cap) + tech_3_5*TblTech[[#This Row],[3-5]] + tech_5_3*TblTech[[#This Row],[5-3]] + tech_5_5*TblTech[[#This Row],[5-5]]))*spec_dp_ore,0)</f>
        <v>10</v>
      </c>
      <c r="BJ118" s="113">
        <f ca="1">ROUNDUP((1-MIN(TblMili[[#This Row],[Smithies]]*smithy_bonus,smithy_bonus_cap) + tech_3_5*TblTech[[#This Row],[3-5]] + tech_5_3*TblTech[[#This Row],[5-3]] + tech_5_5*TblTech[[#This Row],[5-5]])*elite1_plat,0)</f>
        <v>656</v>
      </c>
      <c r="BK118" s="113">
        <f ca="1">ROUNDUP(IF(race="Gnome",1,(1-MIN(TblMili[[#This Row],[Smithies]]*smithy_bonus,smithy_bonus_cap) + tech_3_5*TblTech[[#This Row],[3-5]] + tech_5_3*TblTech[[#This Row],[5-3]] + tech_5_5*TblTech[[#This Row],[5-5]]))*elite1_ore,0)</f>
        <v>48</v>
      </c>
      <c r="BL118" s="113">
        <f ca="1">ROUNDUP((1-MIN(TblMili[[#This Row],[Smithies]]*smithy_bonus,smithy_bonus_cap) + tech_3_5*TblTech[[#This Row],[3-5]] + tech_5_3*TblTech[[#This Row],[5-3]] + tech_5_5*TblTech[[#This Row],[5-5]])*elite2_plat,0)</f>
        <v>800</v>
      </c>
      <c r="BM118" s="113">
        <f ca="1">ROUNDUP(IF(race="Gnome",1,(1-MIN(TblMili[[#This Row],[Smithies]]*smithy_bonus,smithy_bonus_cap) + tech_3_5*TblTech[[#This Row],[3-5]] + tech_5_3*TblTech[[#This Row],[5-3]] + tech_5_5*TblTech[[#This Row],[5-5]]))*elite2_ore,0)</f>
        <v>64</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0.75</v>
      </c>
      <c r="BS118" s="208">
        <f ca="1">TblMili[[#This Row],[WG''s]]</f>
        <v>0</v>
      </c>
      <c r="BT118" s="323">
        <f ca="1">IF(mystic_cap="none",TblMili[[#This Row],[Hill]]/mystic_bonus,MIN(mystic_cap,TblMili[[#This Row],[Hill]]/mystic_bonus))</f>
        <v>3.75</v>
      </c>
      <c r="BU118" s="323">
        <f ca="1">IF(druid_op_cap="none",TblMili[[#This Row],[Hill]]/druid_op_bonus,MIN(druid_op_cap,TblMili[[#This Row],[Hill]]/druid_op_bonus))</f>
        <v>3.75</v>
      </c>
      <c r="BV118" s="323">
        <f ca="1">IF(druid_dp_cap="none",TblMili[[#This Row],[Hill]]/druid_dp_bonus,MIN(druid_dp_cap,TblMili[[#This Row],[Hill]]/druid_dp_bonus))</f>
        <v>3.75</v>
      </c>
      <c r="BW118" s="323">
        <f ca="1">MIN(dryad_cap,TblMili[[#This Row],[Hill]]/dryad_bonus)</f>
        <v>3.75</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250</v>
      </c>
      <c r="CB118" s="124">
        <f ca="1">MIN(TblMili[[#This Row],[Unit 1]],TblMili[[#This Row],[Unit 4]])*2</f>
        <v>0</v>
      </c>
      <c r="CC118" s="323">
        <f ca="1">MIN(frost_mage_cap,TblMili[[#This Row],[Hill]]/frost_mage_bonus)</f>
        <v>3</v>
      </c>
      <c r="CD118" s="59">
        <f ca="1">MIN(ice_elem_cap,TblMili[[#This Row],[Raw (2)]]*ice_elem_bonus)</f>
        <v>5.8333333333333334E-2</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3.95</v>
      </c>
      <c r="CK11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8" s="113">
        <f ca="1">TblMili[[#This Row],[Mystic bonus]]*TblMili[[#This Row],[Unit 3]]+TblMili[[#This Row],[Druid bonus]]*TblMili[[#This Row],[Unit 4]]</f>
        <v>4836.25</v>
      </c>
      <c r="CM118" s="201">
        <f ca="1">MIN(6,TblMili[[#This Row],[Dryad]]+Races!$F$35)*1.8 +  IF(TblMili[[#This Row],[Dryad]]+Races!$F$35&gt;6,(TblMili[[#This Row],[Dryad]]+Races!$F$35-6)*0.2,0) - Races!$I$19</f>
        <v>3.7500000000000009</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5.4</v>
      </c>
      <c r="CT118" s="201">
        <f ca="1">1.8 * MIN(MAX(TblMili[[#This Row],[Ice Elemental]]+Races!$E$71,Races!$F$71),6)  +  0.45 * MIN(MIN(TblMili[[#This Row],[Ice Elemental]]+Races!$E$71,Races!$F$71),6)  +  0.2 * ( MAX(TblMili[[#This Row],[Ice Elemental]]+Races!$E$71-6,0) + MAX(Races!$F$71-6,0) )  -  Races!$I$71</f>
        <v>0.10500000000000043</v>
      </c>
      <c r="CU118" s="113">
        <f ca="1">TblMili[[#This Row],[Frost Mage bonus]]*TblMili[[#This Row],[Unit 3]]+TblMili[[#This Row],[Ice Elemental bonus]]*TblMili[[#This Row],[Unit 4]]</f>
        <v>738.00000000000023</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8" s="184"/>
      <c r="DA118" s="326">
        <f ca="1">(TblMili[[#This Row],[Wizards]]+2*TblMili[[#This Row],[Archmages]])/TblConstr[[#This Row],[Land]]</f>
        <v>5.8333333333333334E-2</v>
      </c>
      <c r="DB118" s="326">
        <f ca="1">TblMili[[#This Row],[Raw (2)]]*(1+race_wizard_strength+IF(TblMili[[#This Row],[Hour]]&gt;72,tech_magical_weaponry_wiz*TblTech[[#This Row],[3-5]],0))</f>
        <v>5.8333333333333334E-2</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5170</v>
      </c>
      <c r="C119" s="203">
        <f ca="1">TblPop[[#This Row],[Military%]]</f>
        <v>0.51892000401485494</v>
      </c>
      <c r="D119" s="184"/>
      <c r="E119" s="49">
        <f ca="1">OFFSET(TblMili[[#This Row],[Unit 1]],-1,0) + OFFSET(TblMili[[#This Row],[Train Unit 1]],-9,0) - TblMili[[#This Row],[Release Unit 1]]</f>
        <v>0</v>
      </c>
      <c r="F119" s="49">
        <f ca="1">OFFSET(TblMili[[#This Row],[Unit 2]],-1,0) + OFFSET(TblMili[[#This Row],[Train Unit 2]],-9,0)-TblMili[[#This Row],[Release Unit 2]]</f>
        <v>1081</v>
      </c>
      <c r="G119" s="49">
        <f ca="1">OFFSET(TblMili[[#This Row],[Unit 3]],-1,0) + OFFSET(TblMili[[#This Row],[Train Unit 3]],-12,0)-TblMili[[#This Row],[Release Unit 3]]</f>
        <v>125</v>
      </c>
      <c r="H119" s="49">
        <f ca="1">OFFSET(TblMili[[#This Row],[Unit 4]],-1,0) + OFFSET(TblMili[[#This Row],[Train Unit 4]],-12,0)-TblMili[[#This Row],[Release Unit 4]]</f>
        <v>600</v>
      </c>
      <c r="I119" s="49">
        <f ca="1">OFFSET(TblMili[[#This Row],[Spies]],-1,0) + OFFSET(TblMili[[#This Row],[Train Spies]],-12,0) - TblMili[[#This Row],[Release Spies]]</f>
        <v>35</v>
      </c>
      <c r="J119" s="49">
        <f ca="1">OFFSET(TblMili[[#This Row],[Wizards]],-1,0) + OFFSET(TblMili[[#This Row],[Train Wiz]],-12,0) - TblMili[[#This Row],[Release Wizards]]-TblMili[[#This Row],[Train Arch]]</f>
        <v>35</v>
      </c>
      <c r="K119" s="49">
        <f ca="1">OFFSET(TblMili[[#This Row],[Archmages]],-1,0) + OFFSET(TblMili[[#This Row],[Train Arch]],-12,0) - TblMili[[#This Row],[Release Arch]]</f>
        <v>0</v>
      </c>
      <c r="L119" s="184"/>
      <c r="M119" s="113">
        <f ca="1">TblProd[[#This Row],[Networth]]</f>
        <v>29507.5</v>
      </c>
      <c r="N119" s="184"/>
      <c r="O119" s="319">
        <f ca="1">TblMili[[#This Row],[Unit 1]]*spec_op+TblMili[[#This Row],[Unit 3]]*(elite1_base_op+dark_elf*TblMili[[#This Row],[Adept]])+TblMili[[#This Row],[Unit 4]]*(elite2_base_op+icekin*TblMili[[#This Row],[Ice Elemental]]+woodie*TblMili[[#This Row],[Druid (op)]]+orc*TblMili[[#This Row],[Orc]])+kobold*TblMili[[#This Row],[Overlords]]</f>
        <v>3850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3946.2499999999995</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9" s="319">
        <f ca="1">TblMili[[#This Row],[Non Draft]]+TblMili[[#This Row],[Draftees]]</f>
        <v>9087</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5793</v>
      </c>
      <c r="V119" s="319">
        <f ca="1">TblMili[[#This Row],[Draft]] * (1 + TblMili[[#This Row],[Mods_Def]])</f>
        <v>9087</v>
      </c>
      <c r="W119" s="319">
        <f ca="1">TblConstr[[#This Row],[Land]]</f>
        <v>600</v>
      </c>
      <c r="X119" s="322"/>
      <c r="Y119" s="327">
        <f ca="1">IF(TblMili[[#This Row],[Set]]&lt;&gt;"",TblMili[[#This Row],[Set]],OFFSET(TblMili[[#This Row],[Draftrate]],-1,0))</f>
        <v>0.9</v>
      </c>
      <c r="Z119" s="113">
        <f ca="1">OFFSET(TblMili[[#This Row],[Draftees]],-1,0)+OFFSET(TblPop[[#This Row],[Draft Growth]],-1,0) - SUM(TblMili[[#This Row],[Train Unit 1]:[Train Wiz]]) - TblMili[[#This Row],[Release Draft]] + SUM(TblMili[[#This Row],[Release Unit 1]:[Release Arch]]) -TblExplore[[#This Row],[Draftees (2)]]</f>
        <v>3294</v>
      </c>
      <c r="AA119" s="200"/>
      <c r="AB119" s="234">
        <f ca="1">(TblConstr[[#This Row],[Tot Smi]]+TblConstr[[#This Row],[Dest Smi]])/(TblConstr[[#This Row],[Land]]-TblExplore[[#This Row],[Land Bonus]]*20)</f>
        <v>0.18</v>
      </c>
      <c r="AC119" s="178"/>
      <c r="AD119" s="318">
        <f>TblMili[[#This Row],[Hour]]</f>
        <v>116</v>
      </c>
      <c r="AE119" s="179">
        <f ca="1">TblExplore[[#This Row],[Time]]</f>
        <v>44409.541666666388</v>
      </c>
      <c r="AF119" s="232"/>
      <c r="AG119" s="232"/>
      <c r="AH119" s="232"/>
      <c r="AI119" s="232"/>
      <c r="AJ119" s="232"/>
      <c r="AK119" s="232"/>
      <c r="AL119" s="232"/>
      <c r="AM119" s="184"/>
      <c r="AN119" s="113">
        <f ca="1">TblProd[[#This Row],[Platinum]]</f>
        <v>1547641</v>
      </c>
      <c r="AO119" s="113">
        <f ca="1">INDEX(TblProd[[#Headers],[Lumber]]:TblProd[[#This Row],[Ore]],COUNTA(TblProd[[#Headers],[Lumber]]:TblProd[[#This Row],[Lumber]]),MATCH(Military!$AO$2,TblProd[[#Headers],[Lumber]:[Ore]],0))</f>
        <v>96590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44409.541666666388</v>
      </c>
      <c r="AT119" s="113">
        <f ca="1">TblMili[[#This Row],[Draftees]]</f>
        <v>3294</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176</v>
      </c>
      <c r="BG119" s="113">
        <f ca="1">ROUNDUP(IF(race="Gnome",1,(1-MIN(TblMili[[#This Row],[Smithies]]*smithy_bonus,smithy_bonus_cap) + tech_3_5*TblTech[[#This Row],[3-5]] + tech_5_3*TblTech[[#This Row],[5-3]] + tech_5_5*TblTech[[#This Row],[5-5]]))*spec_op_ore,0)</f>
        <v>16</v>
      </c>
      <c r="BH119" s="113">
        <f ca="1">ROUNDUP((1-MIN(TblMili[[#This Row],[Smithies]]*smithy_bonus,smithy_bonus_cap) + tech_3_5*TblTech[[#This Row],[3-5]] + tech_5_3*TblTech[[#This Row],[5-3]] + tech_5_5*TblTech[[#This Row],[5-5]])*spec_dp_plat,0)</f>
        <v>176</v>
      </c>
      <c r="BI119" s="113">
        <f ca="1">ROUNDUP(IF(race="Gnome",1,(1-MIN(TblMili[[#This Row],[Smithies]]*smithy_bonus,smithy_bonus_cap) + tech_3_5*TblTech[[#This Row],[3-5]] + tech_5_3*TblTech[[#This Row],[5-3]] + tech_5_5*TblTech[[#This Row],[5-5]]))*spec_dp_ore,0)</f>
        <v>10</v>
      </c>
      <c r="BJ119" s="113">
        <f ca="1">ROUNDUP((1-MIN(TblMili[[#This Row],[Smithies]]*smithy_bonus,smithy_bonus_cap) + tech_3_5*TblTech[[#This Row],[3-5]] + tech_5_3*TblTech[[#This Row],[5-3]] + tech_5_5*TblTech[[#This Row],[5-5]])*elite1_plat,0)</f>
        <v>656</v>
      </c>
      <c r="BK119" s="113">
        <f ca="1">ROUNDUP(IF(race="Gnome",1,(1-MIN(TblMili[[#This Row],[Smithies]]*smithy_bonus,smithy_bonus_cap) + tech_3_5*TblTech[[#This Row],[3-5]] + tech_5_3*TblTech[[#This Row],[5-3]] + tech_5_5*TblTech[[#This Row],[5-5]]))*elite1_ore,0)</f>
        <v>48</v>
      </c>
      <c r="BL119" s="113">
        <f ca="1">ROUNDUP((1-MIN(TblMili[[#This Row],[Smithies]]*smithy_bonus,smithy_bonus_cap) + tech_3_5*TblTech[[#This Row],[3-5]] + tech_5_3*TblTech[[#This Row],[5-3]] + tech_5_5*TblTech[[#This Row],[5-5]])*elite2_plat,0)</f>
        <v>800</v>
      </c>
      <c r="BM119" s="113">
        <f ca="1">ROUNDUP(IF(race="Gnome",1,(1-MIN(TblMili[[#This Row],[Smithies]]*smithy_bonus,smithy_bonus_cap) + tech_3_5*TblTech[[#This Row],[3-5]] + tech_5_3*TblTech[[#This Row],[5-3]] + tech_5_5*TblTech[[#This Row],[5-5]]))*elite2_ore,0)</f>
        <v>64</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0.75</v>
      </c>
      <c r="BS119" s="208">
        <f ca="1">TblMili[[#This Row],[WG''s]]</f>
        <v>0</v>
      </c>
      <c r="BT119" s="323">
        <f ca="1">IF(mystic_cap="none",TblMili[[#This Row],[Hill]]/mystic_bonus,MIN(mystic_cap,TblMili[[#This Row],[Hill]]/mystic_bonus))</f>
        <v>3.75</v>
      </c>
      <c r="BU119" s="323">
        <f ca="1">IF(druid_op_cap="none",TblMili[[#This Row],[Hill]]/druid_op_bonus,MIN(druid_op_cap,TblMili[[#This Row],[Hill]]/druid_op_bonus))</f>
        <v>3.75</v>
      </c>
      <c r="BV119" s="323">
        <f ca="1">IF(druid_dp_cap="none",TblMili[[#This Row],[Hill]]/druid_dp_bonus,MIN(druid_dp_cap,TblMili[[#This Row],[Hill]]/druid_dp_bonus))</f>
        <v>3.75</v>
      </c>
      <c r="BW119" s="323">
        <f ca="1">MIN(dryad_cap,TblMili[[#This Row],[Hill]]/dryad_bonus)</f>
        <v>3.75</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250</v>
      </c>
      <c r="CB119" s="124">
        <f ca="1">MIN(TblMili[[#This Row],[Unit 1]],TblMili[[#This Row],[Unit 4]])*2</f>
        <v>0</v>
      </c>
      <c r="CC119" s="323">
        <f ca="1">MIN(frost_mage_cap,TblMili[[#This Row],[Hill]]/frost_mage_bonus)</f>
        <v>3</v>
      </c>
      <c r="CD119" s="59">
        <f ca="1">MIN(ice_elem_cap,TblMili[[#This Row],[Raw (2)]]*ice_elem_bonus)</f>
        <v>5.8333333333333334E-2</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3.95</v>
      </c>
      <c r="CK11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9" s="113">
        <f ca="1">TblMili[[#This Row],[Mystic bonus]]*TblMili[[#This Row],[Unit 3]]+TblMili[[#This Row],[Druid bonus]]*TblMili[[#This Row],[Unit 4]]</f>
        <v>4836.25</v>
      </c>
      <c r="CM119" s="201">
        <f ca="1">MIN(6,TblMili[[#This Row],[Dryad]]+Races!$F$35)*1.8 +  IF(TblMili[[#This Row],[Dryad]]+Races!$F$35&gt;6,(TblMili[[#This Row],[Dryad]]+Races!$F$35-6)*0.2,0) - Races!$I$19</f>
        <v>3.7500000000000009</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5.4</v>
      </c>
      <c r="CT119" s="201">
        <f ca="1">1.8 * MIN(MAX(TblMili[[#This Row],[Ice Elemental]]+Races!$E$71,Races!$F$71),6)  +  0.45 * MIN(MIN(TblMili[[#This Row],[Ice Elemental]]+Races!$E$71,Races!$F$71),6)  +  0.2 * ( MAX(TblMili[[#This Row],[Ice Elemental]]+Races!$E$71-6,0) + MAX(Races!$F$71-6,0) )  -  Races!$I$71</f>
        <v>0.10500000000000043</v>
      </c>
      <c r="CU119" s="113">
        <f ca="1">TblMili[[#This Row],[Frost Mage bonus]]*TblMili[[#This Row],[Unit 3]]+TblMili[[#This Row],[Ice Elemental bonus]]*TblMili[[#This Row],[Unit 4]]</f>
        <v>738.00000000000023</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9" s="184"/>
      <c r="DA119" s="326">
        <f ca="1">(TblMili[[#This Row],[Wizards]]+2*TblMili[[#This Row],[Archmages]])/TblConstr[[#This Row],[Land]]</f>
        <v>5.8333333333333334E-2</v>
      </c>
      <c r="DB119" s="326">
        <f ca="1">TblMili[[#This Row],[Raw (2)]]*(1+race_wizard_strength+IF(TblMili[[#This Row],[Hour]]&gt;72,tech_magical_weaponry_wiz*TblTech[[#This Row],[3-5]],0))</f>
        <v>5.8333333333333334E-2</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5218</v>
      </c>
      <c r="C120" s="203">
        <f ca="1">TblPop[[#This Row],[Military%]]</f>
        <v>0.52373782997089235</v>
      </c>
      <c r="D120" s="184"/>
      <c r="E120" s="49">
        <f ca="1">OFFSET(TblMili[[#This Row],[Unit 1]],-1,0) + OFFSET(TblMili[[#This Row],[Train Unit 1]],-9,0) - TblMili[[#This Row],[Release Unit 1]]</f>
        <v>0</v>
      </c>
      <c r="F120" s="49">
        <f ca="1">OFFSET(TblMili[[#This Row],[Unit 2]],-1,0) + OFFSET(TblMili[[#This Row],[Train Unit 2]],-9,0)-TblMili[[#This Row],[Release Unit 2]]</f>
        <v>1081</v>
      </c>
      <c r="G120" s="49">
        <f ca="1">OFFSET(TblMili[[#This Row],[Unit 3]],-1,0) + OFFSET(TblMili[[#This Row],[Train Unit 3]],-12,0)-TblMili[[#This Row],[Release Unit 3]]</f>
        <v>125</v>
      </c>
      <c r="H120" s="49">
        <f ca="1">OFFSET(TblMili[[#This Row],[Unit 4]],-1,0) + OFFSET(TblMili[[#This Row],[Train Unit 4]],-12,0)-TblMili[[#This Row],[Release Unit 4]]</f>
        <v>600</v>
      </c>
      <c r="I120" s="49">
        <f ca="1">OFFSET(TblMili[[#This Row],[Spies]],-1,0) + OFFSET(TblMili[[#This Row],[Train Spies]],-12,0) - TblMili[[#This Row],[Release Spies]]</f>
        <v>35</v>
      </c>
      <c r="J120" s="49">
        <f ca="1">OFFSET(TblMili[[#This Row],[Wizards]],-1,0) + OFFSET(TblMili[[#This Row],[Train Wiz]],-12,0) - TblMili[[#This Row],[Release Wizards]]-TblMili[[#This Row],[Train Arch]]</f>
        <v>35</v>
      </c>
      <c r="K120" s="49">
        <f ca="1">OFFSET(TblMili[[#This Row],[Archmages]],-1,0) + OFFSET(TblMili[[#This Row],[Train Arch]],-12,0) - TblMili[[#This Row],[Release Arch]]</f>
        <v>0</v>
      </c>
      <c r="L120" s="184"/>
      <c r="M120" s="113">
        <f ca="1">TblProd[[#This Row],[Networth]]</f>
        <v>29507.5</v>
      </c>
      <c r="N120" s="184"/>
      <c r="O120" s="319">
        <f ca="1">TblMili[[#This Row],[Unit 1]]*spec_op+TblMili[[#This Row],[Unit 3]]*(elite1_base_op+dark_elf*TblMili[[#This Row],[Adept]])+TblMili[[#This Row],[Unit 4]]*(elite2_base_op+icekin*TblMili[[#This Row],[Ice Elemental]]+woodie*TblMili[[#This Row],[Druid (op)]]+orc*TblMili[[#This Row],[Orc]])+kobold*TblMili[[#This Row],[Overlords]]</f>
        <v>3850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3946.2499999999995</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0" s="319">
        <f ca="1">TblMili[[#This Row],[Non Draft]]+TblMili[[#This Row],[Draftees]]</f>
        <v>9135</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5793</v>
      </c>
      <c r="V120" s="319">
        <f ca="1">TblMili[[#This Row],[Draft]] * (1 + TblMili[[#This Row],[Mods_Def]])</f>
        <v>9135</v>
      </c>
      <c r="W120" s="319">
        <f ca="1">TblConstr[[#This Row],[Land]]</f>
        <v>600</v>
      </c>
      <c r="X120" s="322"/>
      <c r="Y120" s="327">
        <f ca="1">IF(TblMili[[#This Row],[Set]]&lt;&gt;"",TblMili[[#This Row],[Set]],OFFSET(TblMili[[#This Row],[Draftrate]],-1,0))</f>
        <v>0.9</v>
      </c>
      <c r="Z120" s="113">
        <f ca="1">OFFSET(TblMili[[#This Row],[Draftees]],-1,0)+OFFSET(TblPop[[#This Row],[Draft Growth]],-1,0) - SUM(TblMili[[#This Row],[Train Unit 1]:[Train Wiz]]) - TblMili[[#This Row],[Release Draft]] + SUM(TblMili[[#This Row],[Release Unit 1]:[Release Arch]]) -TblExplore[[#This Row],[Draftees (2)]]</f>
        <v>3342</v>
      </c>
      <c r="AA120" s="200"/>
      <c r="AB120" s="234">
        <f ca="1">(TblConstr[[#This Row],[Tot Smi]]+TblConstr[[#This Row],[Dest Smi]])/(TblConstr[[#This Row],[Land]]-TblExplore[[#This Row],[Land Bonus]]*20)</f>
        <v>0.18</v>
      </c>
      <c r="AC120" s="178"/>
      <c r="AD120" s="318">
        <f>TblMili[[#This Row],[Hour]]</f>
        <v>117</v>
      </c>
      <c r="AE120" s="179">
        <f ca="1">TblExplore[[#This Row],[Time]]</f>
        <v>44409.583333333052</v>
      </c>
      <c r="AF120" s="232"/>
      <c r="AG120" s="232"/>
      <c r="AH120" s="232"/>
      <c r="AI120" s="232"/>
      <c r="AJ120" s="232"/>
      <c r="AK120" s="232"/>
      <c r="AL120" s="232"/>
      <c r="AM120" s="184"/>
      <c r="AN120" s="113">
        <f ca="1">TblProd[[#This Row],[Platinum]]</f>
        <v>1572462</v>
      </c>
      <c r="AO120" s="113">
        <f ca="1">INDEX(TblProd[[#Headers],[Lumber]]:TblProd[[#This Row],[Ore]],COUNTA(TblProd[[#Headers],[Lumber]]:TblProd[[#This Row],[Lumber]]),MATCH(Military!$AO$2,TblProd[[#Headers],[Lumber]:[Ore]],0))</f>
        <v>98390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44409.583333333052</v>
      </c>
      <c r="AT120" s="113">
        <f ca="1">TblMili[[#This Row],[Draftees]]</f>
        <v>3342</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176</v>
      </c>
      <c r="BG120" s="113">
        <f ca="1">ROUNDUP(IF(race="Gnome",1,(1-MIN(TblMili[[#This Row],[Smithies]]*smithy_bonus,smithy_bonus_cap) + tech_3_5*TblTech[[#This Row],[3-5]] + tech_5_3*TblTech[[#This Row],[5-3]] + tech_5_5*TblTech[[#This Row],[5-5]]))*spec_op_ore,0)</f>
        <v>16</v>
      </c>
      <c r="BH120" s="113">
        <f ca="1">ROUNDUP((1-MIN(TblMili[[#This Row],[Smithies]]*smithy_bonus,smithy_bonus_cap) + tech_3_5*TblTech[[#This Row],[3-5]] + tech_5_3*TblTech[[#This Row],[5-3]] + tech_5_5*TblTech[[#This Row],[5-5]])*spec_dp_plat,0)</f>
        <v>176</v>
      </c>
      <c r="BI120" s="113">
        <f ca="1">ROUNDUP(IF(race="Gnome",1,(1-MIN(TblMili[[#This Row],[Smithies]]*smithy_bonus,smithy_bonus_cap) + tech_3_5*TblTech[[#This Row],[3-5]] + tech_5_3*TblTech[[#This Row],[5-3]] + tech_5_5*TblTech[[#This Row],[5-5]]))*spec_dp_ore,0)</f>
        <v>10</v>
      </c>
      <c r="BJ120" s="113">
        <f ca="1">ROUNDUP((1-MIN(TblMili[[#This Row],[Smithies]]*smithy_bonus,smithy_bonus_cap) + tech_3_5*TblTech[[#This Row],[3-5]] + tech_5_3*TblTech[[#This Row],[5-3]] + tech_5_5*TblTech[[#This Row],[5-5]])*elite1_plat,0)</f>
        <v>656</v>
      </c>
      <c r="BK120" s="113">
        <f ca="1">ROUNDUP(IF(race="Gnome",1,(1-MIN(TblMili[[#This Row],[Smithies]]*smithy_bonus,smithy_bonus_cap) + tech_3_5*TblTech[[#This Row],[3-5]] + tech_5_3*TblTech[[#This Row],[5-3]] + tech_5_5*TblTech[[#This Row],[5-5]]))*elite1_ore,0)</f>
        <v>48</v>
      </c>
      <c r="BL120" s="113">
        <f ca="1">ROUNDUP((1-MIN(TblMili[[#This Row],[Smithies]]*smithy_bonus,smithy_bonus_cap) + tech_3_5*TblTech[[#This Row],[3-5]] + tech_5_3*TblTech[[#This Row],[5-3]] + tech_5_5*TblTech[[#This Row],[5-5]])*elite2_plat,0)</f>
        <v>800</v>
      </c>
      <c r="BM120" s="113">
        <f ca="1">ROUNDUP(IF(race="Gnome",1,(1-MIN(TblMili[[#This Row],[Smithies]]*smithy_bonus,smithy_bonus_cap) + tech_3_5*TblTech[[#This Row],[3-5]] + tech_5_3*TblTech[[#This Row],[5-3]] + tech_5_5*TblTech[[#This Row],[5-5]]))*elite2_ore,0)</f>
        <v>64</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0.75</v>
      </c>
      <c r="BS120" s="208">
        <f ca="1">TblMili[[#This Row],[WG''s]]</f>
        <v>0</v>
      </c>
      <c r="BT120" s="323">
        <f ca="1">IF(mystic_cap="none",TblMili[[#This Row],[Hill]]/mystic_bonus,MIN(mystic_cap,TblMili[[#This Row],[Hill]]/mystic_bonus))</f>
        <v>3.75</v>
      </c>
      <c r="BU120" s="323">
        <f ca="1">IF(druid_op_cap="none",TblMili[[#This Row],[Hill]]/druid_op_bonus,MIN(druid_op_cap,TblMili[[#This Row],[Hill]]/druid_op_bonus))</f>
        <v>3.75</v>
      </c>
      <c r="BV120" s="323">
        <f ca="1">IF(druid_dp_cap="none",TblMili[[#This Row],[Hill]]/druid_dp_bonus,MIN(druid_dp_cap,TblMili[[#This Row],[Hill]]/druid_dp_bonus))</f>
        <v>3.75</v>
      </c>
      <c r="BW120" s="323">
        <f ca="1">MIN(dryad_cap,TblMili[[#This Row],[Hill]]/dryad_bonus)</f>
        <v>3.75</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250</v>
      </c>
      <c r="CB120" s="124">
        <f ca="1">MIN(TblMili[[#This Row],[Unit 1]],TblMili[[#This Row],[Unit 4]])*2</f>
        <v>0</v>
      </c>
      <c r="CC120" s="323">
        <f ca="1">MIN(frost_mage_cap,TblMili[[#This Row],[Hill]]/frost_mage_bonus)</f>
        <v>3</v>
      </c>
      <c r="CD120" s="59">
        <f ca="1">MIN(ice_elem_cap,TblMili[[#This Row],[Raw (2)]]*ice_elem_bonus)</f>
        <v>5.8333333333333334E-2</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3.95</v>
      </c>
      <c r="CK12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0" s="113">
        <f ca="1">TblMili[[#This Row],[Mystic bonus]]*TblMili[[#This Row],[Unit 3]]+TblMili[[#This Row],[Druid bonus]]*TblMili[[#This Row],[Unit 4]]</f>
        <v>4836.25</v>
      </c>
      <c r="CM120" s="201">
        <f ca="1">MIN(6,TblMili[[#This Row],[Dryad]]+Races!$F$35)*1.8 +  IF(TblMili[[#This Row],[Dryad]]+Races!$F$35&gt;6,(TblMili[[#This Row],[Dryad]]+Races!$F$35-6)*0.2,0) - Races!$I$19</f>
        <v>3.7500000000000009</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5.4</v>
      </c>
      <c r="CT120" s="201">
        <f ca="1">1.8 * MIN(MAX(TblMili[[#This Row],[Ice Elemental]]+Races!$E$71,Races!$F$71),6)  +  0.45 * MIN(MIN(TblMili[[#This Row],[Ice Elemental]]+Races!$E$71,Races!$F$71),6)  +  0.2 * ( MAX(TblMili[[#This Row],[Ice Elemental]]+Races!$E$71-6,0) + MAX(Races!$F$71-6,0) )  -  Races!$I$71</f>
        <v>0.10500000000000043</v>
      </c>
      <c r="CU120" s="113">
        <f ca="1">TblMili[[#This Row],[Frost Mage bonus]]*TblMili[[#This Row],[Unit 3]]+TblMili[[#This Row],[Ice Elemental bonus]]*TblMili[[#This Row],[Unit 4]]</f>
        <v>738.00000000000023</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0" s="184"/>
      <c r="DA120" s="326">
        <f ca="1">(TblMili[[#This Row],[Wizards]]+2*TblMili[[#This Row],[Archmages]])/TblConstr[[#This Row],[Land]]</f>
        <v>5.8333333333333334E-2</v>
      </c>
      <c r="DB120" s="326">
        <f ca="1">TblMili[[#This Row],[Raw (2)]]*(1+race_wizard_strength+IF(TblMili[[#This Row],[Hour]]&gt;72,tech_magical_weaponry_wiz*TblTech[[#This Row],[3-5]],0))</f>
        <v>5.8333333333333334E-2</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5265</v>
      </c>
      <c r="C121" s="203">
        <f ca="1">TblPop[[#This Row],[Military%]]</f>
        <v>0.52845528455284552</v>
      </c>
      <c r="D121" s="184"/>
      <c r="E121" s="49">
        <f ca="1">OFFSET(TblMili[[#This Row],[Unit 1]],-1,0) + OFFSET(TblMili[[#This Row],[Train Unit 1]],-9,0) - TblMili[[#This Row],[Release Unit 1]]</f>
        <v>0</v>
      </c>
      <c r="F121" s="49">
        <f ca="1">OFFSET(TblMili[[#This Row],[Unit 2]],-1,0) + OFFSET(TblMili[[#This Row],[Train Unit 2]],-9,0)-TblMili[[#This Row],[Release Unit 2]]</f>
        <v>1081</v>
      </c>
      <c r="G121" s="49">
        <f ca="1">OFFSET(TblMili[[#This Row],[Unit 3]],-1,0) + OFFSET(TblMili[[#This Row],[Train Unit 3]],-12,0)-TblMili[[#This Row],[Release Unit 3]]</f>
        <v>125</v>
      </c>
      <c r="H121" s="49">
        <f ca="1">OFFSET(TblMili[[#This Row],[Unit 4]],-1,0) + OFFSET(TblMili[[#This Row],[Train Unit 4]],-12,0)-TblMili[[#This Row],[Release Unit 4]]</f>
        <v>600</v>
      </c>
      <c r="I121" s="49">
        <f ca="1">OFFSET(TblMili[[#This Row],[Spies]],-1,0) + OFFSET(TblMili[[#This Row],[Train Spies]],-12,0) - TblMili[[#This Row],[Release Spies]]</f>
        <v>35</v>
      </c>
      <c r="J121" s="49">
        <f ca="1">OFFSET(TblMili[[#This Row],[Wizards]],-1,0) + OFFSET(TblMili[[#This Row],[Train Wiz]],-12,0) - TblMili[[#This Row],[Release Wizards]]-TblMili[[#This Row],[Train Arch]]</f>
        <v>35</v>
      </c>
      <c r="K121" s="49">
        <f ca="1">OFFSET(TblMili[[#This Row],[Archmages]],-1,0) + OFFSET(TblMili[[#This Row],[Train Arch]],-12,0) - TblMili[[#This Row],[Release Arch]]</f>
        <v>0</v>
      </c>
      <c r="L121" s="184"/>
      <c r="M121" s="113">
        <f ca="1">TblProd[[#This Row],[Networth]]</f>
        <v>29507.5</v>
      </c>
      <c r="N121" s="184"/>
      <c r="O121" s="319">
        <f ca="1">TblMili[[#This Row],[Unit 1]]*spec_op+TblMili[[#This Row],[Unit 3]]*(elite1_base_op+dark_elf*TblMili[[#This Row],[Adept]])+TblMili[[#This Row],[Unit 4]]*(elite2_base_op+icekin*TblMili[[#This Row],[Ice Elemental]]+woodie*TblMili[[#This Row],[Druid (op)]]+orc*TblMili[[#This Row],[Orc]])+kobold*TblMili[[#This Row],[Overlords]]</f>
        <v>3850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3946.2499999999995</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1" s="319">
        <f ca="1">TblMili[[#This Row],[Non Draft]]+TblMili[[#This Row],[Draftees]]</f>
        <v>9182</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5793</v>
      </c>
      <c r="V121" s="319">
        <f ca="1">TblMili[[#This Row],[Draft]] * (1 + TblMili[[#This Row],[Mods_Def]])</f>
        <v>9182</v>
      </c>
      <c r="W121" s="319">
        <f ca="1">TblConstr[[#This Row],[Land]]</f>
        <v>600</v>
      </c>
      <c r="X121" s="322"/>
      <c r="Y121" s="327">
        <f ca="1">IF(TblMili[[#This Row],[Set]]&lt;&gt;"",TblMili[[#This Row],[Set]],OFFSET(TblMili[[#This Row],[Draftrate]],-1,0))</f>
        <v>0.9</v>
      </c>
      <c r="Z121" s="113">
        <f ca="1">OFFSET(TblMili[[#This Row],[Draftees]],-1,0)+OFFSET(TblPop[[#This Row],[Draft Growth]],-1,0) - SUM(TblMili[[#This Row],[Train Unit 1]:[Train Wiz]]) - TblMili[[#This Row],[Release Draft]] + SUM(TblMili[[#This Row],[Release Unit 1]:[Release Arch]]) -TblExplore[[#This Row],[Draftees (2)]]</f>
        <v>3389</v>
      </c>
      <c r="AA121" s="200"/>
      <c r="AB121" s="234">
        <f ca="1">(TblConstr[[#This Row],[Tot Smi]]+TblConstr[[#This Row],[Dest Smi]])/(TblConstr[[#This Row],[Land]]-TblExplore[[#This Row],[Land Bonus]]*20)</f>
        <v>0.18</v>
      </c>
      <c r="AC121" s="178"/>
      <c r="AD121" s="318">
        <f>TblMili[[#This Row],[Hour]]</f>
        <v>118</v>
      </c>
      <c r="AE121" s="179">
        <f ca="1">TblExplore[[#This Row],[Time]]</f>
        <v>44409.624999999716</v>
      </c>
      <c r="AF121" s="232"/>
      <c r="AG121" s="232"/>
      <c r="AH121" s="232"/>
      <c r="AI121" s="232"/>
      <c r="AJ121" s="232"/>
      <c r="AK121" s="232"/>
      <c r="AL121" s="232"/>
      <c r="AM121" s="184"/>
      <c r="AN121" s="113">
        <f ca="1">TblProd[[#This Row],[Platinum]]</f>
        <v>1597153</v>
      </c>
      <c r="AO121" s="113">
        <f ca="1">INDEX(TblProd[[#Headers],[Lumber]]:TblProd[[#This Row],[Ore]],COUNTA(TblProd[[#Headers],[Lumber]]:TblProd[[#This Row],[Lumber]]),MATCH(Military!$AO$2,TblProd[[#Headers],[Lumber]:[Ore]],0))</f>
        <v>100190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44409.624999999716</v>
      </c>
      <c r="AT121" s="113">
        <f ca="1">TblMili[[#This Row],[Draftees]]</f>
        <v>3389</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176</v>
      </c>
      <c r="BG121" s="113">
        <f ca="1">ROUNDUP(IF(race="Gnome",1,(1-MIN(TblMili[[#This Row],[Smithies]]*smithy_bonus,smithy_bonus_cap) + tech_3_5*TblTech[[#This Row],[3-5]] + tech_5_3*TblTech[[#This Row],[5-3]] + tech_5_5*TblTech[[#This Row],[5-5]]))*spec_op_ore,0)</f>
        <v>16</v>
      </c>
      <c r="BH121" s="113">
        <f ca="1">ROUNDUP((1-MIN(TblMili[[#This Row],[Smithies]]*smithy_bonus,smithy_bonus_cap) + tech_3_5*TblTech[[#This Row],[3-5]] + tech_5_3*TblTech[[#This Row],[5-3]] + tech_5_5*TblTech[[#This Row],[5-5]])*spec_dp_plat,0)</f>
        <v>176</v>
      </c>
      <c r="BI121" s="113">
        <f ca="1">ROUNDUP(IF(race="Gnome",1,(1-MIN(TblMili[[#This Row],[Smithies]]*smithy_bonus,smithy_bonus_cap) + tech_3_5*TblTech[[#This Row],[3-5]] + tech_5_3*TblTech[[#This Row],[5-3]] + tech_5_5*TblTech[[#This Row],[5-5]]))*spec_dp_ore,0)</f>
        <v>10</v>
      </c>
      <c r="BJ121" s="113">
        <f ca="1">ROUNDUP((1-MIN(TblMili[[#This Row],[Smithies]]*smithy_bonus,smithy_bonus_cap) + tech_3_5*TblTech[[#This Row],[3-5]] + tech_5_3*TblTech[[#This Row],[5-3]] + tech_5_5*TblTech[[#This Row],[5-5]])*elite1_plat,0)</f>
        <v>656</v>
      </c>
      <c r="BK121" s="113">
        <f ca="1">ROUNDUP(IF(race="Gnome",1,(1-MIN(TblMili[[#This Row],[Smithies]]*smithy_bonus,smithy_bonus_cap) + tech_3_5*TblTech[[#This Row],[3-5]] + tech_5_3*TblTech[[#This Row],[5-3]] + tech_5_5*TblTech[[#This Row],[5-5]]))*elite1_ore,0)</f>
        <v>48</v>
      </c>
      <c r="BL121" s="113">
        <f ca="1">ROUNDUP((1-MIN(TblMili[[#This Row],[Smithies]]*smithy_bonus,smithy_bonus_cap) + tech_3_5*TblTech[[#This Row],[3-5]] + tech_5_3*TblTech[[#This Row],[5-3]] + tech_5_5*TblTech[[#This Row],[5-5]])*elite2_plat,0)</f>
        <v>800</v>
      </c>
      <c r="BM121" s="113">
        <f ca="1">ROUNDUP(IF(race="Gnome",1,(1-MIN(TblMili[[#This Row],[Smithies]]*smithy_bonus,smithy_bonus_cap) + tech_3_5*TblTech[[#This Row],[3-5]] + tech_5_3*TblTech[[#This Row],[5-3]] + tech_5_5*TblTech[[#This Row],[5-5]]))*elite2_ore,0)</f>
        <v>64</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0.75</v>
      </c>
      <c r="BS121" s="208">
        <f ca="1">TblMili[[#This Row],[WG''s]]</f>
        <v>0</v>
      </c>
      <c r="BT121" s="323">
        <f ca="1">IF(mystic_cap="none",TblMili[[#This Row],[Hill]]/mystic_bonus,MIN(mystic_cap,TblMili[[#This Row],[Hill]]/mystic_bonus))</f>
        <v>3.75</v>
      </c>
      <c r="BU121" s="323">
        <f ca="1">IF(druid_op_cap="none",TblMili[[#This Row],[Hill]]/druid_op_bonus,MIN(druid_op_cap,TblMili[[#This Row],[Hill]]/druid_op_bonus))</f>
        <v>3.75</v>
      </c>
      <c r="BV121" s="323">
        <f ca="1">IF(druid_dp_cap="none",TblMili[[#This Row],[Hill]]/druid_dp_bonus,MIN(druid_dp_cap,TblMili[[#This Row],[Hill]]/druid_dp_bonus))</f>
        <v>3.75</v>
      </c>
      <c r="BW121" s="323">
        <f ca="1">MIN(dryad_cap,TblMili[[#This Row],[Hill]]/dryad_bonus)</f>
        <v>3.75</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250</v>
      </c>
      <c r="CB121" s="124">
        <f ca="1">MIN(TblMili[[#This Row],[Unit 1]],TblMili[[#This Row],[Unit 4]])*2</f>
        <v>0</v>
      </c>
      <c r="CC121" s="323">
        <f ca="1">MIN(frost_mage_cap,TblMili[[#This Row],[Hill]]/frost_mage_bonus)</f>
        <v>3</v>
      </c>
      <c r="CD121" s="59">
        <f ca="1">MIN(ice_elem_cap,TblMili[[#This Row],[Raw (2)]]*ice_elem_bonus)</f>
        <v>5.8333333333333334E-2</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3.95</v>
      </c>
      <c r="CK12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1" s="113">
        <f ca="1">TblMili[[#This Row],[Mystic bonus]]*TblMili[[#This Row],[Unit 3]]+TblMili[[#This Row],[Druid bonus]]*TblMili[[#This Row],[Unit 4]]</f>
        <v>4836.25</v>
      </c>
      <c r="CM121" s="201">
        <f ca="1">MIN(6,TblMili[[#This Row],[Dryad]]+Races!$F$35)*1.8 +  IF(TblMili[[#This Row],[Dryad]]+Races!$F$35&gt;6,(TblMili[[#This Row],[Dryad]]+Races!$F$35-6)*0.2,0) - Races!$I$19</f>
        <v>3.7500000000000009</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5.4</v>
      </c>
      <c r="CT121" s="201">
        <f ca="1">1.8 * MIN(MAX(TblMili[[#This Row],[Ice Elemental]]+Races!$E$71,Races!$F$71),6)  +  0.45 * MIN(MIN(TblMili[[#This Row],[Ice Elemental]]+Races!$E$71,Races!$F$71),6)  +  0.2 * ( MAX(TblMili[[#This Row],[Ice Elemental]]+Races!$E$71-6,0) + MAX(Races!$F$71-6,0) )  -  Races!$I$71</f>
        <v>0.10500000000000043</v>
      </c>
      <c r="CU121" s="113">
        <f ca="1">TblMili[[#This Row],[Frost Mage bonus]]*TblMili[[#This Row],[Unit 3]]+TblMili[[#This Row],[Ice Elemental bonus]]*TblMili[[#This Row],[Unit 4]]</f>
        <v>738.00000000000023</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1" s="184"/>
      <c r="DA121" s="326">
        <f ca="1">(TblMili[[#This Row],[Wizards]]+2*TblMili[[#This Row],[Archmages]])/TblConstr[[#This Row],[Land]]</f>
        <v>5.8333333333333334E-2</v>
      </c>
      <c r="DB121" s="326">
        <f ca="1">TblMili[[#This Row],[Raw (2)]]*(1+race_wizard_strength+IF(TblMili[[#This Row],[Hour]]&gt;72,tech_magical_weaponry_wiz*TblTech[[#This Row],[3-5]],0))</f>
        <v>5.8333333333333334E-2</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5312</v>
      </c>
      <c r="C122" s="203">
        <f ca="1">TblPop[[#This Row],[Military%]]</f>
        <v>0.53317273913479879</v>
      </c>
      <c r="D122" s="184"/>
      <c r="E122" s="49">
        <f ca="1">OFFSET(TblMili[[#This Row],[Unit 1]],-1,0) + OFFSET(TblMili[[#This Row],[Train Unit 1]],-9,0) - TblMili[[#This Row],[Release Unit 1]]</f>
        <v>0</v>
      </c>
      <c r="F122" s="49">
        <f ca="1">OFFSET(TblMili[[#This Row],[Unit 2]],-1,0) + OFFSET(TblMili[[#This Row],[Train Unit 2]],-9,0)-TblMili[[#This Row],[Release Unit 2]]</f>
        <v>1081</v>
      </c>
      <c r="G122" s="49">
        <f ca="1">OFFSET(TblMili[[#This Row],[Unit 3]],-1,0) + OFFSET(TblMili[[#This Row],[Train Unit 3]],-12,0)-TblMili[[#This Row],[Release Unit 3]]</f>
        <v>125</v>
      </c>
      <c r="H122" s="49">
        <f ca="1">OFFSET(TblMili[[#This Row],[Unit 4]],-1,0) + OFFSET(TblMili[[#This Row],[Train Unit 4]],-12,0)-TblMili[[#This Row],[Release Unit 4]]</f>
        <v>600</v>
      </c>
      <c r="I122" s="49">
        <f ca="1">OFFSET(TblMili[[#This Row],[Spies]],-1,0) + OFFSET(TblMili[[#This Row],[Train Spies]],-12,0) - TblMili[[#This Row],[Release Spies]]</f>
        <v>35</v>
      </c>
      <c r="J122" s="49">
        <f ca="1">OFFSET(TblMili[[#This Row],[Wizards]],-1,0) + OFFSET(TblMili[[#This Row],[Train Wiz]],-12,0) - TblMili[[#This Row],[Release Wizards]]-TblMili[[#This Row],[Train Arch]]</f>
        <v>35</v>
      </c>
      <c r="K122" s="49">
        <f ca="1">OFFSET(TblMili[[#This Row],[Archmages]],-1,0) + OFFSET(TblMili[[#This Row],[Train Arch]],-12,0) - TblMili[[#This Row],[Release Arch]]</f>
        <v>0</v>
      </c>
      <c r="L122" s="184"/>
      <c r="M122" s="113">
        <f ca="1">TblProd[[#This Row],[Networth]]</f>
        <v>29507.5</v>
      </c>
      <c r="N122" s="184"/>
      <c r="O122" s="319">
        <f ca="1">TblMili[[#This Row],[Unit 1]]*spec_op+TblMili[[#This Row],[Unit 3]]*(elite1_base_op+dark_elf*TblMili[[#This Row],[Adept]])+TblMili[[#This Row],[Unit 4]]*(elite2_base_op+icekin*TblMili[[#This Row],[Ice Elemental]]+woodie*TblMili[[#This Row],[Druid (op)]]+orc*TblMili[[#This Row],[Orc]])+kobold*TblMili[[#This Row],[Overlords]]</f>
        <v>3850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3946.2499999999995</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2" s="319">
        <f ca="1">TblMili[[#This Row],[Non Draft]]+TblMili[[#This Row],[Draftees]]</f>
        <v>9229</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5793</v>
      </c>
      <c r="V122" s="319">
        <f ca="1">TblMili[[#This Row],[Draft]] * (1 + TblMili[[#This Row],[Mods_Def]])</f>
        <v>9229</v>
      </c>
      <c r="W122" s="319">
        <f ca="1">TblConstr[[#This Row],[Land]]</f>
        <v>600</v>
      </c>
      <c r="X122" s="322"/>
      <c r="Y122" s="327">
        <f ca="1">IF(TblMili[[#This Row],[Set]]&lt;&gt;"",TblMili[[#This Row],[Set]],OFFSET(TblMili[[#This Row],[Draftrate]],-1,0))</f>
        <v>0.9</v>
      </c>
      <c r="Z122" s="113">
        <f ca="1">OFFSET(TblMili[[#This Row],[Draftees]],-1,0)+OFFSET(TblPop[[#This Row],[Draft Growth]],-1,0) - SUM(TblMili[[#This Row],[Train Unit 1]:[Train Wiz]]) - TblMili[[#This Row],[Release Draft]] + SUM(TblMili[[#This Row],[Release Unit 1]:[Release Arch]]) -TblExplore[[#This Row],[Draftees (2)]]</f>
        <v>3436</v>
      </c>
      <c r="AA122" s="200"/>
      <c r="AB122" s="234">
        <f ca="1">(TblConstr[[#This Row],[Tot Smi]]+TblConstr[[#This Row],[Dest Smi]])/(TblConstr[[#This Row],[Land]]-TblExplore[[#This Row],[Land Bonus]]*20)</f>
        <v>0.18</v>
      </c>
      <c r="AC122" s="178"/>
      <c r="AD122" s="318">
        <f>TblMili[[#This Row],[Hour]]</f>
        <v>119</v>
      </c>
      <c r="AE122" s="179">
        <f ca="1">TblExplore[[#This Row],[Time]]</f>
        <v>44409.66666666638</v>
      </c>
      <c r="AF122" s="232"/>
      <c r="AG122" s="232"/>
      <c r="AH122" s="232"/>
      <c r="AI122" s="232"/>
      <c r="AJ122" s="232"/>
      <c r="AK122" s="232"/>
      <c r="AL122" s="232"/>
      <c r="AM122" s="184"/>
      <c r="AN122" s="113">
        <f ca="1">TblProd[[#This Row],[Platinum]]</f>
        <v>1621717</v>
      </c>
      <c r="AO122" s="113">
        <f ca="1">INDEX(TblProd[[#Headers],[Lumber]]:TblProd[[#This Row],[Ore]],COUNTA(TblProd[[#Headers],[Lumber]]:TblProd[[#This Row],[Lumber]]),MATCH(Military!$AO$2,TblProd[[#Headers],[Lumber]:[Ore]],0))</f>
        <v>101990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44409.66666666638</v>
      </c>
      <c r="AT122" s="113">
        <f ca="1">TblMili[[#This Row],[Draftees]]</f>
        <v>3436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176</v>
      </c>
      <c r="BG122" s="113">
        <f ca="1">ROUNDUP(IF(race="Gnome",1,(1-MIN(TblMili[[#This Row],[Smithies]]*smithy_bonus,smithy_bonus_cap) + tech_3_5*TblTech[[#This Row],[3-5]] + tech_5_3*TblTech[[#This Row],[5-3]] + tech_5_5*TblTech[[#This Row],[5-5]]))*spec_op_ore,0)</f>
        <v>16</v>
      </c>
      <c r="BH122" s="113">
        <f ca="1">ROUNDUP((1-MIN(TblMili[[#This Row],[Smithies]]*smithy_bonus,smithy_bonus_cap) + tech_3_5*TblTech[[#This Row],[3-5]] + tech_5_3*TblTech[[#This Row],[5-3]] + tech_5_5*TblTech[[#This Row],[5-5]])*spec_dp_plat,0)</f>
        <v>176</v>
      </c>
      <c r="BI122" s="113">
        <f ca="1">ROUNDUP(IF(race="Gnome",1,(1-MIN(TblMili[[#This Row],[Smithies]]*smithy_bonus,smithy_bonus_cap) + tech_3_5*TblTech[[#This Row],[3-5]] + tech_5_3*TblTech[[#This Row],[5-3]] + tech_5_5*TblTech[[#This Row],[5-5]]))*spec_dp_ore,0)</f>
        <v>10</v>
      </c>
      <c r="BJ122" s="113">
        <f ca="1">ROUNDUP((1-MIN(TblMili[[#This Row],[Smithies]]*smithy_bonus,smithy_bonus_cap) + tech_3_5*TblTech[[#This Row],[3-5]] + tech_5_3*TblTech[[#This Row],[5-3]] + tech_5_5*TblTech[[#This Row],[5-5]])*elite1_plat,0)</f>
        <v>656</v>
      </c>
      <c r="BK122" s="113">
        <f ca="1">ROUNDUP(IF(race="Gnome",1,(1-MIN(TblMili[[#This Row],[Smithies]]*smithy_bonus,smithy_bonus_cap) + tech_3_5*TblTech[[#This Row],[3-5]] + tech_5_3*TblTech[[#This Row],[5-3]] + tech_5_5*TblTech[[#This Row],[5-5]]))*elite1_ore,0)</f>
        <v>48</v>
      </c>
      <c r="BL122" s="113">
        <f ca="1">ROUNDUP((1-MIN(TblMili[[#This Row],[Smithies]]*smithy_bonus,smithy_bonus_cap) + tech_3_5*TblTech[[#This Row],[3-5]] + tech_5_3*TblTech[[#This Row],[5-3]] + tech_5_5*TblTech[[#This Row],[5-5]])*elite2_plat,0)</f>
        <v>800</v>
      </c>
      <c r="BM122" s="113">
        <f ca="1">ROUNDUP(IF(race="Gnome",1,(1-MIN(TblMili[[#This Row],[Smithies]]*smithy_bonus,smithy_bonus_cap) + tech_3_5*TblTech[[#This Row],[3-5]] + tech_5_3*TblTech[[#This Row],[5-3]] + tech_5_5*TblTech[[#This Row],[5-5]]))*elite2_ore,0)</f>
        <v>64</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0.75</v>
      </c>
      <c r="BS122" s="208">
        <f ca="1">TblMili[[#This Row],[WG''s]]</f>
        <v>0</v>
      </c>
      <c r="BT122" s="323">
        <f ca="1">IF(mystic_cap="none",TblMili[[#This Row],[Hill]]/mystic_bonus,MIN(mystic_cap,TblMili[[#This Row],[Hill]]/mystic_bonus))</f>
        <v>3.75</v>
      </c>
      <c r="BU122" s="323">
        <f ca="1">IF(druid_op_cap="none",TblMili[[#This Row],[Hill]]/druid_op_bonus,MIN(druid_op_cap,TblMili[[#This Row],[Hill]]/druid_op_bonus))</f>
        <v>3.75</v>
      </c>
      <c r="BV122" s="323">
        <f ca="1">IF(druid_dp_cap="none",TblMili[[#This Row],[Hill]]/druid_dp_bonus,MIN(druid_dp_cap,TblMili[[#This Row],[Hill]]/druid_dp_bonus))</f>
        <v>3.75</v>
      </c>
      <c r="BW122" s="323">
        <f ca="1">MIN(dryad_cap,TblMili[[#This Row],[Hill]]/dryad_bonus)</f>
        <v>3.75</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250</v>
      </c>
      <c r="CB122" s="124">
        <f ca="1">MIN(TblMili[[#This Row],[Unit 1]],TblMili[[#This Row],[Unit 4]])*2</f>
        <v>0</v>
      </c>
      <c r="CC122" s="323">
        <f ca="1">MIN(frost_mage_cap,TblMili[[#This Row],[Hill]]/frost_mage_bonus)</f>
        <v>3</v>
      </c>
      <c r="CD122" s="59">
        <f ca="1">MIN(ice_elem_cap,TblMili[[#This Row],[Raw (2)]]*ice_elem_bonus)</f>
        <v>5.8333333333333334E-2</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3.95</v>
      </c>
      <c r="CK12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2" s="113">
        <f ca="1">TblMili[[#This Row],[Mystic bonus]]*TblMili[[#This Row],[Unit 3]]+TblMili[[#This Row],[Druid bonus]]*TblMili[[#This Row],[Unit 4]]</f>
        <v>4836.25</v>
      </c>
      <c r="CM122" s="201">
        <f ca="1">MIN(6,TblMili[[#This Row],[Dryad]]+Races!$F$35)*1.8 +  IF(TblMili[[#This Row],[Dryad]]+Races!$F$35&gt;6,(TblMili[[#This Row],[Dryad]]+Races!$F$35-6)*0.2,0) - Races!$I$19</f>
        <v>3.7500000000000009</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5.4</v>
      </c>
      <c r="CT122" s="201">
        <f ca="1">1.8 * MIN(MAX(TblMili[[#This Row],[Ice Elemental]]+Races!$E$71,Races!$F$71),6)  +  0.45 * MIN(MIN(TblMili[[#This Row],[Ice Elemental]]+Races!$E$71,Races!$F$71),6)  +  0.2 * ( MAX(TblMili[[#This Row],[Ice Elemental]]+Races!$E$71-6,0) + MAX(Races!$F$71-6,0) )  -  Races!$I$71</f>
        <v>0.10500000000000043</v>
      </c>
      <c r="CU122" s="113">
        <f ca="1">TblMili[[#This Row],[Frost Mage bonus]]*TblMili[[#This Row],[Unit 3]]+TblMili[[#This Row],[Ice Elemental bonus]]*TblMili[[#This Row],[Unit 4]]</f>
        <v>738.00000000000023</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2" s="184"/>
      <c r="DA122" s="326">
        <f ca="1">(TblMili[[#This Row],[Wizards]]+2*TblMili[[#This Row],[Archmages]])/TblConstr[[#This Row],[Land]]</f>
        <v>5.8333333333333334E-2</v>
      </c>
      <c r="DB122" s="326">
        <f ca="1">TblMili[[#This Row],[Raw (2)]]*(1+race_wizard_strength+IF(TblMili[[#This Row],[Hour]]&gt;72,tech_magical_weaponry_wiz*TblTech[[#This Row],[3-5]],0))</f>
        <v>5.8333333333333334E-2</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5359</v>
      </c>
      <c r="C123" s="203">
        <f ca="1">TblPop[[#This Row],[Military%]]</f>
        <v>0.53789019371675195</v>
      </c>
      <c r="D123" s="184"/>
      <c r="E123" s="49">
        <f ca="1">OFFSET(TblMili[[#This Row],[Unit 1]],-1,0) + OFFSET(TblMili[[#This Row],[Train Unit 1]],-9,0) - TblMili[[#This Row],[Release Unit 1]]</f>
        <v>0</v>
      </c>
      <c r="F123" s="49">
        <f ca="1">OFFSET(TblMili[[#This Row],[Unit 2]],-1,0) + OFFSET(TblMili[[#This Row],[Train Unit 2]],-9,0)-TblMili[[#This Row],[Release Unit 2]]</f>
        <v>1081</v>
      </c>
      <c r="G123" s="49">
        <f ca="1">OFFSET(TblMili[[#This Row],[Unit 3]],-1,0) + OFFSET(TblMili[[#This Row],[Train Unit 3]],-12,0)-TblMili[[#This Row],[Release Unit 3]]</f>
        <v>125</v>
      </c>
      <c r="H123" s="49">
        <f ca="1">OFFSET(TblMili[[#This Row],[Unit 4]],-1,0) + OFFSET(TblMili[[#This Row],[Train Unit 4]],-12,0)-TblMili[[#This Row],[Release Unit 4]]</f>
        <v>600</v>
      </c>
      <c r="I123" s="49">
        <f ca="1">OFFSET(TblMili[[#This Row],[Spies]],-1,0) + OFFSET(TblMili[[#This Row],[Train Spies]],-12,0) - TblMili[[#This Row],[Release Spies]]</f>
        <v>35</v>
      </c>
      <c r="J123" s="49">
        <f ca="1">OFFSET(TblMili[[#This Row],[Wizards]],-1,0) + OFFSET(TblMili[[#This Row],[Train Wiz]],-12,0) - TblMili[[#This Row],[Release Wizards]]-TblMili[[#This Row],[Train Arch]]</f>
        <v>35</v>
      </c>
      <c r="K123" s="49">
        <f ca="1">OFFSET(TblMili[[#This Row],[Archmages]],-1,0) + OFFSET(TblMili[[#This Row],[Train Arch]],-12,0) - TblMili[[#This Row],[Release Arch]]</f>
        <v>0</v>
      </c>
      <c r="L123" s="184"/>
      <c r="M123" s="113">
        <f ca="1">TblProd[[#This Row],[Networth]]</f>
        <v>29507.5</v>
      </c>
      <c r="N123" s="184"/>
      <c r="O123" s="319">
        <f ca="1">TblMili[[#This Row],[Unit 1]]*spec_op+TblMili[[#This Row],[Unit 3]]*(elite1_base_op+dark_elf*TblMili[[#This Row],[Adept]])+TblMili[[#This Row],[Unit 4]]*(elite2_base_op+icekin*TblMili[[#This Row],[Ice Elemental]]+woodie*TblMili[[#This Row],[Druid (op)]]+orc*TblMili[[#This Row],[Orc]])+kobold*TblMili[[#This Row],[Overlords]]</f>
        <v>3850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3946.2499999999995</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3" s="319">
        <f ca="1">TblMili[[#This Row],[Non Draft]]+TblMili[[#This Row],[Draftees]]</f>
        <v>9276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5793</v>
      </c>
      <c r="V123" s="319">
        <f ca="1">TblMili[[#This Row],[Draft]] * (1 + TblMili[[#This Row],[Mods_Def]])</f>
        <v>9276</v>
      </c>
      <c r="W123" s="319">
        <f ca="1">TblConstr[[#This Row],[Land]]</f>
        <v>600</v>
      </c>
      <c r="X123" s="322"/>
      <c r="Y123" s="327">
        <f ca="1">IF(TblMili[[#This Row],[Set]]&lt;&gt;"",TblMili[[#This Row],[Set]],OFFSET(TblMili[[#This Row],[Draftrate]],-1,0))</f>
        <v>0.9</v>
      </c>
      <c r="Z123" s="113">
        <f ca="1">OFFSET(TblMili[[#This Row],[Draftees]],-1,0)+OFFSET(TblPop[[#This Row],[Draft Growth]],-1,0) - SUM(TblMili[[#This Row],[Train Unit 1]:[Train Wiz]]) - TblMili[[#This Row],[Release Draft]] + SUM(TblMili[[#This Row],[Release Unit 1]:[Release Arch]]) -TblExplore[[#This Row],[Draftees (2)]]</f>
        <v>3483</v>
      </c>
      <c r="AA123" s="200"/>
      <c r="AB123" s="234">
        <f ca="1">(TblConstr[[#This Row],[Tot Smi]]+TblConstr[[#This Row],[Dest Smi]])/(TblConstr[[#This Row],[Land]]-TblExplore[[#This Row],[Land Bonus]]*20)</f>
        <v>0.18</v>
      </c>
      <c r="AC123" s="178"/>
      <c r="AD123" s="318">
        <f>TblMili[[#This Row],[Hour]]</f>
        <v>120</v>
      </c>
      <c r="AE123" s="179">
        <f ca="1">TblExplore[[#This Row],[Time]]</f>
        <v>44409.708333333045</v>
      </c>
      <c r="AF123" s="232"/>
      <c r="AG123" s="232"/>
      <c r="AH123" s="232"/>
      <c r="AI123" s="232"/>
      <c r="AJ123" s="232"/>
      <c r="AK123" s="232"/>
      <c r="AL123" s="232"/>
      <c r="AM123" s="184"/>
      <c r="AN123" s="113">
        <f ca="1">TblProd[[#This Row],[Platinum]]</f>
        <v>1646154</v>
      </c>
      <c r="AO123" s="113">
        <f ca="1">INDEX(TblProd[[#Headers],[Lumber]]:TblProd[[#This Row],[Ore]],COUNTA(TblProd[[#Headers],[Lumber]]:TblProd[[#This Row],[Lumber]]),MATCH(Military!$AO$2,TblProd[[#Headers],[Lumber]:[Ore]],0))</f>
        <v>103790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44409.708333333045</v>
      </c>
      <c r="AT123" s="113">
        <f ca="1">TblMili[[#This Row],[Draftees]]</f>
        <v>3483</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176</v>
      </c>
      <c r="BG123" s="113">
        <f ca="1">ROUNDUP(IF(race="Gnome",1,(1-MIN(TblMili[[#This Row],[Smithies]]*smithy_bonus,smithy_bonus_cap) + tech_3_5*TblTech[[#This Row],[3-5]] + tech_5_3*TblTech[[#This Row],[5-3]] + tech_5_5*TblTech[[#This Row],[5-5]]))*spec_op_ore,0)</f>
        <v>16</v>
      </c>
      <c r="BH123" s="113">
        <f ca="1">ROUNDUP((1-MIN(TblMili[[#This Row],[Smithies]]*smithy_bonus,smithy_bonus_cap) + tech_3_5*TblTech[[#This Row],[3-5]] + tech_5_3*TblTech[[#This Row],[5-3]] + tech_5_5*TblTech[[#This Row],[5-5]])*spec_dp_plat,0)</f>
        <v>176</v>
      </c>
      <c r="BI123" s="113">
        <f ca="1">ROUNDUP(IF(race="Gnome",1,(1-MIN(TblMili[[#This Row],[Smithies]]*smithy_bonus,smithy_bonus_cap) + tech_3_5*TblTech[[#This Row],[3-5]] + tech_5_3*TblTech[[#This Row],[5-3]] + tech_5_5*TblTech[[#This Row],[5-5]]))*spec_dp_ore,0)</f>
        <v>10</v>
      </c>
      <c r="BJ123" s="113">
        <f ca="1">ROUNDUP((1-MIN(TblMili[[#This Row],[Smithies]]*smithy_bonus,smithy_bonus_cap) + tech_3_5*TblTech[[#This Row],[3-5]] + tech_5_3*TblTech[[#This Row],[5-3]] + tech_5_5*TblTech[[#This Row],[5-5]])*elite1_plat,0)</f>
        <v>656</v>
      </c>
      <c r="BK123" s="113">
        <f ca="1">ROUNDUP(IF(race="Gnome",1,(1-MIN(TblMili[[#This Row],[Smithies]]*smithy_bonus,smithy_bonus_cap) + tech_3_5*TblTech[[#This Row],[3-5]] + tech_5_3*TblTech[[#This Row],[5-3]] + tech_5_5*TblTech[[#This Row],[5-5]]))*elite1_ore,0)</f>
        <v>48</v>
      </c>
      <c r="BL123" s="113">
        <f ca="1">ROUNDUP((1-MIN(TblMili[[#This Row],[Smithies]]*smithy_bonus,smithy_bonus_cap) + tech_3_5*TblTech[[#This Row],[3-5]] + tech_5_3*TblTech[[#This Row],[5-3]] + tech_5_5*TblTech[[#This Row],[5-5]])*elite2_plat,0)</f>
        <v>800</v>
      </c>
      <c r="BM123" s="113">
        <f ca="1">ROUNDUP(IF(race="Gnome",1,(1-MIN(TblMili[[#This Row],[Smithies]]*smithy_bonus,smithy_bonus_cap) + tech_3_5*TblTech[[#This Row],[3-5]] + tech_5_3*TblTech[[#This Row],[5-3]] + tech_5_5*TblTech[[#This Row],[5-5]]))*elite2_ore,0)</f>
        <v>64</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0.75</v>
      </c>
      <c r="BS123" s="208">
        <f ca="1">TblMili[[#This Row],[WG''s]]</f>
        <v>0</v>
      </c>
      <c r="BT123" s="323">
        <f ca="1">IF(mystic_cap="none",TblMili[[#This Row],[Hill]]/mystic_bonus,MIN(mystic_cap,TblMili[[#This Row],[Hill]]/mystic_bonus))</f>
        <v>3.75</v>
      </c>
      <c r="BU123" s="323">
        <f ca="1">IF(druid_op_cap="none",TblMili[[#This Row],[Hill]]/druid_op_bonus,MIN(druid_op_cap,TblMili[[#This Row],[Hill]]/druid_op_bonus))</f>
        <v>3.75</v>
      </c>
      <c r="BV123" s="323">
        <f ca="1">IF(druid_dp_cap="none",TblMili[[#This Row],[Hill]]/druid_dp_bonus,MIN(druid_dp_cap,TblMili[[#This Row],[Hill]]/druid_dp_bonus))</f>
        <v>3.75</v>
      </c>
      <c r="BW123" s="323">
        <f ca="1">MIN(dryad_cap,TblMili[[#This Row],[Hill]]/dryad_bonus)</f>
        <v>3.75</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250</v>
      </c>
      <c r="CB123" s="124">
        <f ca="1">MIN(TblMili[[#This Row],[Unit 1]],TblMili[[#This Row],[Unit 4]])*2</f>
        <v>0</v>
      </c>
      <c r="CC123" s="323">
        <f ca="1">MIN(frost_mage_cap,TblMili[[#This Row],[Hill]]/frost_mage_bonus)</f>
        <v>3</v>
      </c>
      <c r="CD123" s="59">
        <f ca="1">MIN(ice_elem_cap,TblMili[[#This Row],[Raw (2)]]*ice_elem_bonus)</f>
        <v>5.8333333333333334E-2</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3.95</v>
      </c>
      <c r="CK12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3" s="113">
        <f ca="1">TblMili[[#This Row],[Mystic bonus]]*TblMili[[#This Row],[Unit 3]]+TblMili[[#This Row],[Druid bonus]]*TblMili[[#This Row],[Unit 4]]</f>
        <v>4836.25</v>
      </c>
      <c r="CM123" s="201">
        <f ca="1">MIN(6,TblMili[[#This Row],[Dryad]]+Races!$F$35)*1.8 +  IF(TblMili[[#This Row],[Dryad]]+Races!$F$35&gt;6,(TblMili[[#This Row],[Dryad]]+Races!$F$35-6)*0.2,0) - Races!$I$19</f>
        <v>3.7500000000000009</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5.4</v>
      </c>
      <c r="CT123" s="201">
        <f ca="1">1.8 * MIN(MAX(TblMili[[#This Row],[Ice Elemental]]+Races!$E$71,Races!$F$71),6)  +  0.45 * MIN(MIN(TblMili[[#This Row],[Ice Elemental]]+Races!$E$71,Races!$F$71),6)  +  0.2 * ( MAX(TblMili[[#This Row],[Ice Elemental]]+Races!$E$71-6,0) + MAX(Races!$F$71-6,0) )  -  Races!$I$71</f>
        <v>0.10500000000000043</v>
      </c>
      <c r="CU123" s="113">
        <f ca="1">TblMili[[#This Row],[Frost Mage bonus]]*TblMili[[#This Row],[Unit 3]]+TblMili[[#This Row],[Ice Elemental bonus]]*TblMili[[#This Row],[Unit 4]]</f>
        <v>738.00000000000023</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3" s="184"/>
      <c r="DA123" s="326">
        <f ca="1">(TblMili[[#This Row],[Wizards]]+2*TblMili[[#This Row],[Archmages]])/TblConstr[[#This Row],[Land]]</f>
        <v>5.8333333333333334E-2</v>
      </c>
      <c r="DB123" s="326">
        <f ca="1">TblMili[[#This Row],[Raw (2)]]*(1+race_wizard_strength+IF(TblMili[[#This Row],[Hour]]&gt;72,tech_magical_weaponry_wiz*TblTech[[#This Row],[3-5]],0))</f>
        <v>5.8333333333333334E-2</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5405</v>
      </c>
      <c r="C124" s="203">
        <f ca="1">TblPop[[#This Row],[Military%]]</f>
        <v>0.54250727692462108</v>
      </c>
      <c r="D124" s="184"/>
      <c r="E124" s="49">
        <f ca="1">OFFSET(TblMili[[#This Row],[Unit 1]],-1,0) + OFFSET(TblMili[[#This Row],[Train Unit 1]],-9,0) - TblMili[[#This Row],[Release Unit 1]]</f>
        <v>0</v>
      </c>
      <c r="F124" s="49">
        <f ca="1">OFFSET(TblMili[[#This Row],[Unit 2]],-1,0) + OFFSET(TblMili[[#This Row],[Train Unit 2]],-9,0)-TblMili[[#This Row],[Release Unit 2]]</f>
        <v>1081</v>
      </c>
      <c r="G124" s="49">
        <f ca="1">OFFSET(TblMili[[#This Row],[Unit 3]],-1,0) + OFFSET(TblMili[[#This Row],[Train Unit 3]],-12,0)-TblMili[[#This Row],[Release Unit 3]]</f>
        <v>125</v>
      </c>
      <c r="H124" s="49">
        <f ca="1">OFFSET(TblMili[[#This Row],[Unit 4]],-1,0) + OFFSET(TblMili[[#This Row],[Train Unit 4]],-12,0)-TblMili[[#This Row],[Release Unit 4]]</f>
        <v>600</v>
      </c>
      <c r="I124" s="49">
        <f ca="1">OFFSET(TblMili[[#This Row],[Spies]],-1,0) + OFFSET(TblMili[[#This Row],[Train Spies]],-12,0) - TblMili[[#This Row],[Release Spies]]</f>
        <v>35</v>
      </c>
      <c r="J124" s="49">
        <f ca="1">OFFSET(TblMili[[#This Row],[Wizards]],-1,0) + OFFSET(TblMili[[#This Row],[Train Wiz]],-12,0) - TblMili[[#This Row],[Release Wizards]]-TblMili[[#This Row],[Train Arch]]</f>
        <v>35</v>
      </c>
      <c r="K124" s="49">
        <f ca="1">OFFSET(TblMili[[#This Row],[Archmages]],-1,0) + OFFSET(TblMili[[#This Row],[Train Arch]],-12,0) - TblMili[[#This Row],[Release Arch]]</f>
        <v>0</v>
      </c>
      <c r="L124" s="184"/>
      <c r="M124" s="113">
        <f ca="1">TblProd[[#This Row],[Networth]]</f>
        <v>29507.5</v>
      </c>
      <c r="N124" s="184"/>
      <c r="O124" s="319">
        <f ca="1">TblMili[[#This Row],[Unit 1]]*spec_op+TblMili[[#This Row],[Unit 3]]*(elite1_base_op+dark_elf*TblMili[[#This Row],[Adept]])+TblMili[[#This Row],[Unit 4]]*(elite2_base_op+icekin*TblMili[[#This Row],[Ice Elemental]]+woodie*TblMili[[#This Row],[Druid (op)]]+orc*TblMili[[#This Row],[Orc]])+kobold*TblMili[[#This Row],[Overlords]]</f>
        <v>3850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3946.2499999999995</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4" s="319">
        <f ca="1">TblMili[[#This Row],[Non Draft]]+TblMili[[#This Row],[Draftees]]</f>
        <v>9322</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5793</v>
      </c>
      <c r="V124" s="319">
        <f ca="1">TblMili[[#This Row],[Draft]] * (1 + TblMili[[#This Row],[Mods_Def]])</f>
        <v>9322</v>
      </c>
      <c r="W124" s="319">
        <f ca="1">TblConstr[[#This Row],[Land]]</f>
        <v>600</v>
      </c>
      <c r="X124" s="322"/>
      <c r="Y124" s="327">
        <f ca="1">IF(TblMili[[#This Row],[Set]]&lt;&gt;"",TblMili[[#This Row],[Set]],OFFSET(TblMili[[#This Row],[Draftrate]],-1,0))</f>
        <v>0.9</v>
      </c>
      <c r="Z124" s="113">
        <f ca="1">OFFSET(TblMili[[#This Row],[Draftees]],-1,0)+OFFSET(TblPop[[#This Row],[Draft Growth]],-1,0) - SUM(TblMili[[#This Row],[Train Unit 1]:[Train Wiz]]) - TblMili[[#This Row],[Release Draft]] + SUM(TblMili[[#This Row],[Release Unit 1]:[Release Arch]]) -TblExplore[[#This Row],[Draftees (2)]]</f>
        <v>3529</v>
      </c>
      <c r="AA124" s="200"/>
      <c r="AB124" s="234">
        <f ca="1">(TblConstr[[#This Row],[Tot Smi]]+TblConstr[[#This Row],[Dest Smi]])/(TblConstr[[#This Row],[Land]]-TblExplore[[#This Row],[Land Bonus]]*20)</f>
        <v>0.18</v>
      </c>
      <c r="AC124" s="328"/>
      <c r="AD124" s="329">
        <f>TblMili[[#This Row],[Hour]]</f>
        <v>121</v>
      </c>
      <c r="AE124" s="179">
        <f ca="1">TblExplore[[#This Row],[Time]]</f>
        <v>44409.749999999709</v>
      </c>
      <c r="AF124" s="232"/>
      <c r="AG124" s="232"/>
      <c r="AH124" s="232"/>
      <c r="AI124" s="232"/>
      <c r="AJ124" s="232"/>
      <c r="AK124" s="232"/>
      <c r="AL124" s="232"/>
      <c r="AM124" s="184"/>
      <c r="AN124" s="113">
        <f ca="1">TblProd[[#This Row],[Platinum]]</f>
        <v>1670464</v>
      </c>
      <c r="AO124" s="113">
        <f ca="1">INDEX(TblProd[[#Headers],[Lumber]]:TblProd[[#This Row],[Ore]],COUNTA(TblProd[[#Headers],[Lumber]]:TblProd[[#This Row],[Lumber]]),MATCH(Military!$AO$2,TblProd[[#Headers],[Lumber]:[Ore]],0))</f>
        <v>105590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44409.749999999709</v>
      </c>
      <c r="AT124" s="113">
        <f ca="1">TblMili[[#This Row],[Draftees]]</f>
        <v>3529</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176</v>
      </c>
      <c r="BG124" s="113">
        <f ca="1">ROUNDUP(IF(race="Gnome",1,(1-MIN(TblMili[[#This Row],[Smithies]]*smithy_bonus,smithy_bonus_cap) + tech_3_5*TblTech[[#This Row],[3-5]] + tech_5_3*TblTech[[#This Row],[5-3]] + tech_5_5*TblTech[[#This Row],[5-5]]))*spec_op_ore,0)</f>
        <v>16</v>
      </c>
      <c r="BH124" s="113">
        <f ca="1">ROUNDUP((1-MIN(TblMili[[#This Row],[Smithies]]*smithy_bonus,smithy_bonus_cap) + tech_3_5*TblTech[[#This Row],[3-5]] + tech_5_3*TblTech[[#This Row],[5-3]] + tech_5_5*TblTech[[#This Row],[5-5]])*spec_dp_plat,0)</f>
        <v>176</v>
      </c>
      <c r="BI124" s="113">
        <f ca="1">ROUNDUP(IF(race="Gnome",1,(1-MIN(TblMili[[#This Row],[Smithies]]*smithy_bonus,smithy_bonus_cap) + tech_3_5*TblTech[[#This Row],[3-5]] + tech_5_3*TblTech[[#This Row],[5-3]] + tech_5_5*TblTech[[#This Row],[5-5]]))*spec_dp_ore,0)</f>
        <v>10</v>
      </c>
      <c r="BJ124" s="113">
        <f ca="1">ROUNDUP((1-MIN(TblMili[[#This Row],[Smithies]]*smithy_bonus,smithy_bonus_cap) + tech_3_5*TblTech[[#This Row],[3-5]] + tech_5_3*TblTech[[#This Row],[5-3]] + tech_5_5*TblTech[[#This Row],[5-5]])*elite1_plat,0)</f>
        <v>656</v>
      </c>
      <c r="BK124" s="113">
        <f ca="1">ROUNDUP(IF(race="Gnome",1,(1-MIN(TblMili[[#This Row],[Smithies]]*smithy_bonus,smithy_bonus_cap) + tech_3_5*TblTech[[#This Row],[3-5]] + tech_5_3*TblTech[[#This Row],[5-3]] + tech_5_5*TblTech[[#This Row],[5-5]]))*elite1_ore,0)</f>
        <v>48</v>
      </c>
      <c r="BL124" s="113">
        <f ca="1">ROUNDUP((1-MIN(TblMili[[#This Row],[Smithies]]*smithy_bonus,smithy_bonus_cap) + tech_3_5*TblTech[[#This Row],[3-5]] + tech_5_3*TblTech[[#This Row],[5-3]] + tech_5_5*TblTech[[#This Row],[5-5]])*elite2_plat,0)</f>
        <v>800</v>
      </c>
      <c r="BM124" s="113">
        <f ca="1">ROUNDUP(IF(race="Gnome",1,(1-MIN(TblMili[[#This Row],[Smithies]]*smithy_bonus,smithy_bonus_cap) + tech_3_5*TblTech[[#This Row],[3-5]] + tech_5_3*TblTech[[#This Row],[5-3]] + tech_5_5*TblTech[[#This Row],[5-5]]))*elite2_ore,0)</f>
        <v>64</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0.75</v>
      </c>
      <c r="BS124" s="208">
        <f ca="1">TblMili[[#This Row],[WG''s]]</f>
        <v>0</v>
      </c>
      <c r="BT124" s="323">
        <f ca="1">IF(mystic_cap="none",TblMili[[#This Row],[Hill]]/mystic_bonus,MIN(mystic_cap,TblMili[[#This Row],[Hill]]/mystic_bonus))</f>
        <v>3.75</v>
      </c>
      <c r="BU124" s="323">
        <f ca="1">IF(druid_op_cap="none",TblMili[[#This Row],[Hill]]/druid_op_bonus,MIN(druid_op_cap,TblMili[[#This Row],[Hill]]/druid_op_bonus))</f>
        <v>3.75</v>
      </c>
      <c r="BV124" s="323">
        <f ca="1">IF(druid_dp_cap="none",TblMili[[#This Row],[Hill]]/druid_dp_bonus,MIN(druid_dp_cap,TblMili[[#This Row],[Hill]]/druid_dp_bonus))</f>
        <v>3.75</v>
      </c>
      <c r="BW124" s="323">
        <f ca="1">MIN(dryad_cap,TblMili[[#This Row],[Hill]]/dryad_bonus)</f>
        <v>3.75</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250</v>
      </c>
      <c r="CB124" s="124">
        <f ca="1">MIN(TblMili[[#This Row],[Unit 1]],TblMili[[#This Row],[Unit 4]])*2</f>
        <v>0</v>
      </c>
      <c r="CC124" s="323">
        <f ca="1">MIN(frost_mage_cap,TblMili[[#This Row],[Hill]]/frost_mage_bonus)</f>
        <v>3</v>
      </c>
      <c r="CD124" s="59">
        <f ca="1">MIN(ice_elem_cap,TblMili[[#This Row],[Raw (2)]]*ice_elem_bonus)</f>
        <v>5.8333333333333334E-2</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3.95</v>
      </c>
      <c r="CK12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4" s="113">
        <f ca="1">TblMili[[#This Row],[Mystic bonus]]*TblMili[[#This Row],[Unit 3]]+TblMili[[#This Row],[Druid bonus]]*TblMili[[#This Row],[Unit 4]]</f>
        <v>4836.25</v>
      </c>
      <c r="CM124" s="201">
        <f ca="1">MIN(6,TblMili[[#This Row],[Dryad]]+Races!$F$35)*1.8 +  IF(TblMili[[#This Row],[Dryad]]+Races!$F$35&gt;6,(TblMili[[#This Row],[Dryad]]+Races!$F$35-6)*0.2,0) - Races!$I$19</f>
        <v>3.7500000000000009</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5.4</v>
      </c>
      <c r="CT124" s="201">
        <f ca="1">1.8 * MIN(MAX(TblMili[[#This Row],[Ice Elemental]]+Races!$E$71,Races!$F$71),6)  +  0.45 * MIN(MIN(TblMili[[#This Row],[Ice Elemental]]+Races!$E$71,Races!$F$71),6)  +  0.2 * ( MAX(TblMili[[#This Row],[Ice Elemental]]+Races!$E$71-6,0) + MAX(Races!$F$71-6,0) )  -  Races!$I$71</f>
        <v>0.10500000000000043</v>
      </c>
      <c r="CU124" s="113">
        <f ca="1">TblMili[[#This Row],[Frost Mage bonus]]*TblMili[[#This Row],[Unit 3]]+TblMili[[#This Row],[Ice Elemental bonus]]*TblMili[[#This Row],[Unit 4]]</f>
        <v>738.00000000000023</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4" s="184"/>
      <c r="DA124" s="326">
        <f ca="1">(TblMili[[#This Row],[Wizards]]+2*TblMili[[#This Row],[Archmages]])/TblConstr[[#This Row],[Land]]</f>
        <v>5.8333333333333334E-2</v>
      </c>
      <c r="DB124" s="326">
        <f ca="1">TblMili[[#This Row],[Raw (2)]]*(1+race_wizard_strength+IF(TblMili[[#This Row],[Hour]]&gt;72,tech_magical_weaponry_wiz*TblTech[[#This Row],[3-5]],0))</f>
        <v>5.8333333333333334E-2</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5451</v>
      </c>
      <c r="C125" s="203">
        <f ca="1">TblPop[[#This Row],[Military%]]</f>
        <v>0.54712436013249022</v>
      </c>
      <c r="D125" s="184"/>
      <c r="E125" s="49">
        <f ca="1">OFFSET(TblMili[[#This Row],[Unit 1]],-1,0) + OFFSET(TblMili[[#This Row],[Train Unit 1]],-9,0) - TblMili[[#This Row],[Release Unit 1]]</f>
        <v>0</v>
      </c>
      <c r="F125" s="49">
        <f ca="1">OFFSET(TblMili[[#This Row],[Unit 2]],-1,0) + OFFSET(TblMili[[#This Row],[Train Unit 2]],-9,0)-TblMili[[#This Row],[Release Unit 2]]</f>
        <v>1081</v>
      </c>
      <c r="G125" s="49">
        <f ca="1">OFFSET(TblMili[[#This Row],[Unit 3]],-1,0) + OFFSET(TblMili[[#This Row],[Train Unit 3]],-12,0)-TblMili[[#This Row],[Release Unit 3]]</f>
        <v>125</v>
      </c>
      <c r="H125" s="49">
        <f ca="1">OFFSET(TblMili[[#This Row],[Unit 4]],-1,0) + OFFSET(TblMili[[#This Row],[Train Unit 4]],-12,0)-TblMili[[#This Row],[Release Unit 4]]</f>
        <v>600</v>
      </c>
      <c r="I125" s="49">
        <f ca="1">OFFSET(TblMili[[#This Row],[Spies]],-1,0) + OFFSET(TblMili[[#This Row],[Train Spies]],-12,0) - TblMili[[#This Row],[Release Spies]]</f>
        <v>35</v>
      </c>
      <c r="J125" s="49">
        <f ca="1">OFFSET(TblMili[[#This Row],[Wizards]],-1,0) + OFFSET(TblMili[[#This Row],[Train Wiz]],-12,0) - TblMili[[#This Row],[Release Wizards]]-TblMili[[#This Row],[Train Arch]]</f>
        <v>35</v>
      </c>
      <c r="K125" s="49">
        <f ca="1">OFFSET(TblMili[[#This Row],[Archmages]],-1,0) + OFFSET(TblMili[[#This Row],[Train Arch]],-12,0) - TblMili[[#This Row],[Release Arch]]</f>
        <v>0</v>
      </c>
      <c r="L125" s="184"/>
      <c r="M125" s="113">
        <f ca="1">TblProd[[#This Row],[Networth]]</f>
        <v>29507.5</v>
      </c>
      <c r="N125" s="184"/>
      <c r="O125" s="319">
        <f ca="1">TblMili[[#This Row],[Unit 1]]*spec_op+TblMili[[#This Row],[Unit 3]]*(elite1_base_op+dark_elf*TblMili[[#This Row],[Adept]])+TblMili[[#This Row],[Unit 4]]*(elite2_base_op+icekin*TblMili[[#This Row],[Ice Elemental]]+woodie*TblMili[[#This Row],[Druid (op)]]+orc*TblMili[[#This Row],[Orc]])+kobold*TblMili[[#This Row],[Overlords]]</f>
        <v>3850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3946.2499999999995</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5" s="319">
        <f ca="1">TblMili[[#This Row],[Non Draft]]+TblMili[[#This Row],[Draftees]]</f>
        <v>9368</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5793</v>
      </c>
      <c r="V125" s="319">
        <f ca="1">TblMili[[#This Row],[Draft]] * (1 + TblMili[[#This Row],[Mods_Def]])</f>
        <v>9368</v>
      </c>
      <c r="W125" s="319">
        <f ca="1">TblConstr[[#This Row],[Land]]</f>
        <v>600</v>
      </c>
      <c r="X125" s="322"/>
      <c r="Y125" s="327">
        <f ca="1">IF(TblMili[[#This Row],[Set]]&lt;&gt;"",TblMili[[#This Row],[Set]],OFFSET(TblMili[[#This Row],[Draftrate]],-1,0))</f>
        <v>0.9</v>
      </c>
      <c r="Z125" s="113">
        <f ca="1">OFFSET(TblMili[[#This Row],[Draftees]],-1,0)+OFFSET(TblPop[[#This Row],[Draft Growth]],-1,0) - SUM(TblMili[[#This Row],[Train Unit 1]:[Train Wiz]]) - TblMili[[#This Row],[Release Draft]] + SUM(TblMili[[#This Row],[Release Unit 1]:[Release Arch]]) -TblExplore[[#This Row],[Draftees (2)]]</f>
        <v>3575</v>
      </c>
      <c r="AA125" s="200"/>
      <c r="AB125" s="234">
        <f ca="1">(TblConstr[[#This Row],[Tot Smi]]+TblConstr[[#This Row],[Dest Smi]])/(TblConstr[[#This Row],[Land]]-TblExplore[[#This Row],[Land Bonus]]*20)</f>
        <v>0.18</v>
      </c>
      <c r="AC125" s="178"/>
      <c r="AD125" s="318">
        <f>TblMili[[#This Row],[Hour]]</f>
        <v>122</v>
      </c>
      <c r="AE125" s="179">
        <f ca="1">TblExplore[[#This Row],[Time]]</f>
        <v>44409.791666666373</v>
      </c>
      <c r="AF125" s="204"/>
      <c r="AG125" s="232"/>
      <c r="AH125" s="204"/>
      <c r="AI125" s="232"/>
      <c r="AJ125" s="232"/>
      <c r="AK125" s="232"/>
      <c r="AL125" s="232"/>
      <c r="AM125" s="184"/>
      <c r="AN125" s="113">
        <f ca="1">TblProd[[#This Row],[Platinum]]</f>
        <v>1694650</v>
      </c>
      <c r="AO125" s="113">
        <f ca="1">INDEX(TblProd[[#Headers],[Lumber]]:TblProd[[#This Row],[Ore]],COUNTA(TblProd[[#Headers],[Lumber]]:TblProd[[#This Row],[Lumber]]),MATCH(Military!$AO$2,TblProd[[#Headers],[Lumber]:[Ore]],0))</f>
        <v>107390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44409.791666666373</v>
      </c>
      <c r="AT125" s="113">
        <f ca="1">TblMili[[#This Row],[Draftees]]</f>
        <v>3575</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176</v>
      </c>
      <c r="BG125" s="113">
        <f ca="1">ROUNDUP(IF(race="Gnome",1,(1-MIN(TblMili[[#This Row],[Smithies]]*smithy_bonus,smithy_bonus_cap) + tech_3_5*TblTech[[#This Row],[3-5]] + tech_5_3*TblTech[[#This Row],[5-3]] + tech_5_5*TblTech[[#This Row],[5-5]]))*spec_op_ore,0)</f>
        <v>16</v>
      </c>
      <c r="BH125" s="113">
        <f ca="1">ROUNDUP((1-MIN(TblMili[[#This Row],[Smithies]]*smithy_bonus,smithy_bonus_cap) + tech_3_5*TblTech[[#This Row],[3-5]] + tech_5_3*TblTech[[#This Row],[5-3]] + tech_5_5*TblTech[[#This Row],[5-5]])*spec_dp_plat,0)</f>
        <v>176</v>
      </c>
      <c r="BI125" s="113">
        <f ca="1">ROUNDUP(IF(race="Gnome",1,(1-MIN(TblMili[[#This Row],[Smithies]]*smithy_bonus,smithy_bonus_cap) + tech_3_5*TblTech[[#This Row],[3-5]] + tech_5_3*TblTech[[#This Row],[5-3]] + tech_5_5*TblTech[[#This Row],[5-5]]))*spec_dp_ore,0)</f>
        <v>10</v>
      </c>
      <c r="BJ125" s="113">
        <f ca="1">ROUNDUP((1-MIN(TblMili[[#This Row],[Smithies]]*smithy_bonus,smithy_bonus_cap) + tech_3_5*TblTech[[#This Row],[3-5]] + tech_5_3*TblTech[[#This Row],[5-3]] + tech_5_5*TblTech[[#This Row],[5-5]])*elite1_plat,0)</f>
        <v>656</v>
      </c>
      <c r="BK125" s="113">
        <f ca="1">ROUNDUP(IF(race="Gnome",1,(1-MIN(TblMili[[#This Row],[Smithies]]*smithy_bonus,smithy_bonus_cap) + tech_3_5*TblTech[[#This Row],[3-5]] + tech_5_3*TblTech[[#This Row],[5-3]] + tech_5_5*TblTech[[#This Row],[5-5]]))*elite1_ore,0)</f>
        <v>48</v>
      </c>
      <c r="BL125" s="113">
        <f ca="1">ROUNDUP((1-MIN(TblMili[[#This Row],[Smithies]]*smithy_bonus,smithy_bonus_cap) + tech_3_5*TblTech[[#This Row],[3-5]] + tech_5_3*TblTech[[#This Row],[5-3]] + tech_5_5*TblTech[[#This Row],[5-5]])*elite2_plat,0)</f>
        <v>800</v>
      </c>
      <c r="BM125" s="113">
        <f ca="1">ROUNDUP(IF(race="Gnome",1,(1-MIN(TblMili[[#This Row],[Smithies]]*smithy_bonus,smithy_bonus_cap) + tech_3_5*TblTech[[#This Row],[3-5]] + tech_5_3*TblTech[[#This Row],[5-3]] + tech_5_5*TblTech[[#This Row],[5-5]]))*elite2_ore,0)</f>
        <v>64</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0.75</v>
      </c>
      <c r="BS125" s="208">
        <f ca="1">TblMili[[#This Row],[WG''s]]</f>
        <v>0</v>
      </c>
      <c r="BT125" s="323">
        <f ca="1">IF(mystic_cap="none",TblMili[[#This Row],[Hill]]/mystic_bonus,MIN(mystic_cap,TblMili[[#This Row],[Hill]]/mystic_bonus))</f>
        <v>3.75</v>
      </c>
      <c r="BU125" s="323">
        <f ca="1">IF(druid_op_cap="none",TblMili[[#This Row],[Hill]]/druid_op_bonus,MIN(druid_op_cap,TblMili[[#This Row],[Hill]]/druid_op_bonus))</f>
        <v>3.75</v>
      </c>
      <c r="BV125" s="323">
        <f ca="1">IF(druid_dp_cap="none",TblMili[[#This Row],[Hill]]/druid_dp_bonus,MIN(druid_dp_cap,TblMili[[#This Row],[Hill]]/druid_dp_bonus))</f>
        <v>3.75</v>
      </c>
      <c r="BW125" s="323">
        <f ca="1">MIN(dryad_cap,TblMili[[#This Row],[Hill]]/dryad_bonus)</f>
        <v>3.75</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250</v>
      </c>
      <c r="CB125" s="124">
        <f ca="1">MIN(TblMili[[#This Row],[Unit 1]],TblMili[[#This Row],[Unit 4]])*2</f>
        <v>0</v>
      </c>
      <c r="CC125" s="323">
        <f ca="1">MIN(frost_mage_cap,TblMili[[#This Row],[Hill]]/frost_mage_bonus)</f>
        <v>3</v>
      </c>
      <c r="CD125" s="59">
        <f ca="1">MIN(ice_elem_cap,TblMili[[#This Row],[Raw (2)]]*ice_elem_bonus)</f>
        <v>5.8333333333333334E-2</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3.95</v>
      </c>
      <c r="CK12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5" s="113">
        <f ca="1">TblMili[[#This Row],[Mystic bonus]]*TblMili[[#This Row],[Unit 3]]+TblMili[[#This Row],[Druid bonus]]*TblMili[[#This Row],[Unit 4]]</f>
        <v>4836.25</v>
      </c>
      <c r="CM125" s="201">
        <f ca="1">MIN(6,TblMili[[#This Row],[Dryad]]+Races!$F$35)*1.8 +  IF(TblMili[[#This Row],[Dryad]]+Races!$F$35&gt;6,(TblMili[[#This Row],[Dryad]]+Races!$F$35-6)*0.2,0) - Races!$I$19</f>
        <v>3.7500000000000009</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5.4</v>
      </c>
      <c r="CT125" s="201">
        <f ca="1">1.8 * MIN(MAX(TblMili[[#This Row],[Ice Elemental]]+Races!$E$71,Races!$F$71),6)  +  0.45 * MIN(MIN(TblMili[[#This Row],[Ice Elemental]]+Races!$E$71,Races!$F$71),6)  +  0.2 * ( MAX(TblMili[[#This Row],[Ice Elemental]]+Races!$E$71-6,0) + MAX(Races!$F$71-6,0) )  -  Races!$I$71</f>
        <v>0.10500000000000043</v>
      </c>
      <c r="CU125" s="113">
        <f ca="1">TblMili[[#This Row],[Frost Mage bonus]]*TblMili[[#This Row],[Unit 3]]+TblMili[[#This Row],[Ice Elemental bonus]]*TblMili[[#This Row],[Unit 4]]</f>
        <v>738.00000000000023</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5" s="184"/>
      <c r="DA125" s="326">
        <f ca="1">(TblMili[[#This Row],[Wizards]]+2*TblMili[[#This Row],[Archmages]])/TblConstr[[#This Row],[Land]]</f>
        <v>5.8333333333333334E-2</v>
      </c>
      <c r="DB125" s="326">
        <f ca="1">TblMili[[#This Row],[Raw (2)]]*(1+race_wizard_strength+IF(TblMili[[#This Row],[Hour]]&gt;72,tech_magical_weaponry_wiz*TblTech[[#This Row],[3-5]],0))</f>
        <v>5.8333333333333334E-2</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5496</v>
      </c>
      <c r="C126" s="203">
        <f ca="1">TblPop[[#This Row],[Military%]]</f>
        <v>0.55164107196627521</v>
      </c>
      <c r="D126" s="184"/>
      <c r="E126" s="49">
        <f ca="1">OFFSET(TblMili[[#This Row],[Unit 1]],-1,0) + OFFSET(TblMili[[#This Row],[Train Unit 1]],-9,0) - TblMili[[#This Row],[Release Unit 1]]</f>
        <v>0</v>
      </c>
      <c r="F126" s="49">
        <f ca="1">OFFSET(TblMili[[#This Row],[Unit 2]],-1,0) + OFFSET(TblMili[[#This Row],[Train Unit 2]],-9,0)-TblMili[[#This Row],[Release Unit 2]]</f>
        <v>1081</v>
      </c>
      <c r="G126" s="49">
        <f ca="1">OFFSET(TblMili[[#This Row],[Unit 3]],-1,0) + OFFSET(TblMili[[#This Row],[Train Unit 3]],-12,0)-TblMili[[#This Row],[Release Unit 3]]</f>
        <v>125</v>
      </c>
      <c r="H126" s="49">
        <f ca="1">OFFSET(TblMili[[#This Row],[Unit 4]],-1,0) + OFFSET(TblMili[[#This Row],[Train Unit 4]],-12,0)-TblMili[[#This Row],[Release Unit 4]]</f>
        <v>600</v>
      </c>
      <c r="I126" s="49">
        <f ca="1">OFFSET(TblMili[[#This Row],[Spies]],-1,0) + OFFSET(TblMili[[#This Row],[Train Spies]],-12,0) - TblMili[[#This Row],[Release Spies]]</f>
        <v>35</v>
      </c>
      <c r="J126" s="49">
        <f ca="1">OFFSET(TblMili[[#This Row],[Wizards]],-1,0) + OFFSET(TblMili[[#This Row],[Train Wiz]],-12,0) - TblMili[[#This Row],[Release Wizards]]-TblMili[[#This Row],[Train Arch]]</f>
        <v>35</v>
      </c>
      <c r="K126" s="49">
        <f ca="1">OFFSET(TblMili[[#This Row],[Archmages]],-1,0) + OFFSET(TblMili[[#This Row],[Train Arch]],-12,0) - TblMili[[#This Row],[Release Arch]]</f>
        <v>0</v>
      </c>
      <c r="L126" s="184"/>
      <c r="M126" s="113">
        <f ca="1">TblProd[[#This Row],[Networth]]</f>
        <v>29507.5</v>
      </c>
      <c r="N126" s="184"/>
      <c r="O126" s="319">
        <f ca="1">TblMili[[#This Row],[Unit 1]]*spec_op+TblMili[[#This Row],[Unit 3]]*(elite1_base_op+dark_elf*TblMili[[#This Row],[Adept]])+TblMili[[#This Row],[Unit 4]]*(elite2_base_op+icekin*TblMili[[#This Row],[Ice Elemental]]+woodie*TblMili[[#This Row],[Druid (op)]]+orc*TblMili[[#This Row],[Orc]])+kobold*TblMili[[#This Row],[Overlords]]</f>
        <v>3850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3946.2499999999995</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6" s="319">
        <f ca="1">TblMili[[#This Row],[Non Draft]]+TblMili[[#This Row],[Draftees]]</f>
        <v>9413</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5793</v>
      </c>
      <c r="V126" s="319">
        <f ca="1">TblMili[[#This Row],[Draft]] * (1 + TblMili[[#This Row],[Mods_Def]])</f>
        <v>9413</v>
      </c>
      <c r="W126" s="319">
        <f ca="1">TblConstr[[#This Row],[Land]]</f>
        <v>600</v>
      </c>
      <c r="X126" s="322"/>
      <c r="Y126" s="327">
        <f ca="1">IF(TblMili[[#This Row],[Set]]&lt;&gt;"",TblMili[[#This Row],[Set]],OFFSET(TblMili[[#This Row],[Draftrate]],-1,0))</f>
        <v>0.9</v>
      </c>
      <c r="Z126" s="113">
        <f ca="1">OFFSET(TblMili[[#This Row],[Draftees]],-1,0)+OFFSET(TblPop[[#This Row],[Draft Growth]],-1,0) - SUM(TblMili[[#This Row],[Train Unit 1]:[Train Wiz]]) - TblMili[[#This Row],[Release Draft]] + SUM(TblMili[[#This Row],[Release Unit 1]:[Release Arch]]) -TblExplore[[#This Row],[Draftees (2)]]</f>
        <v>3620</v>
      </c>
      <c r="AA126" s="200"/>
      <c r="AB126" s="234">
        <f ca="1">(TblConstr[[#This Row],[Tot Smi]]+TblConstr[[#This Row],[Dest Smi]])/(TblConstr[[#This Row],[Land]]-TblExplore[[#This Row],[Land Bonus]]*20)</f>
        <v>0.18</v>
      </c>
      <c r="AC126" s="178"/>
      <c r="AD126" s="318">
        <f>TblMili[[#This Row],[Hour]]</f>
        <v>123</v>
      </c>
      <c r="AE126" s="179">
        <f ca="1">TblExplore[[#This Row],[Time]]</f>
        <v>44409.833333333037</v>
      </c>
      <c r="AF126" s="232"/>
      <c r="AG126" s="232"/>
      <c r="AH126" s="232"/>
      <c r="AI126" s="232"/>
      <c r="AJ126" s="232"/>
      <c r="AK126" s="232"/>
      <c r="AL126" s="232"/>
      <c r="AM126" s="184"/>
      <c r="AN126" s="113">
        <f ca="1">TblProd[[#This Row],[Platinum]]</f>
        <v>1718712</v>
      </c>
      <c r="AO126" s="113">
        <f ca="1">INDEX(TblProd[[#Headers],[Lumber]]:TblProd[[#This Row],[Ore]],COUNTA(TblProd[[#Headers],[Lumber]]:TblProd[[#This Row],[Lumber]]),MATCH(Military!$AO$2,TblProd[[#Headers],[Lumber]:[Ore]],0))</f>
        <v>109190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44409.833333333037</v>
      </c>
      <c r="AT126" s="113">
        <f ca="1">TblMili[[#This Row],[Draftees]]</f>
        <v>3620</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176</v>
      </c>
      <c r="BG126" s="113">
        <f ca="1">ROUNDUP(IF(race="Gnome",1,(1-MIN(TblMili[[#This Row],[Smithies]]*smithy_bonus,smithy_bonus_cap) + tech_3_5*TblTech[[#This Row],[3-5]] + tech_5_3*TblTech[[#This Row],[5-3]] + tech_5_5*TblTech[[#This Row],[5-5]]))*spec_op_ore,0)</f>
        <v>16</v>
      </c>
      <c r="BH126" s="113">
        <f ca="1">ROUNDUP((1-MIN(TblMili[[#This Row],[Smithies]]*smithy_bonus,smithy_bonus_cap) + tech_3_5*TblTech[[#This Row],[3-5]] + tech_5_3*TblTech[[#This Row],[5-3]] + tech_5_5*TblTech[[#This Row],[5-5]])*spec_dp_plat,0)</f>
        <v>176</v>
      </c>
      <c r="BI126" s="113">
        <f ca="1">ROUNDUP(IF(race="Gnome",1,(1-MIN(TblMili[[#This Row],[Smithies]]*smithy_bonus,smithy_bonus_cap) + tech_3_5*TblTech[[#This Row],[3-5]] + tech_5_3*TblTech[[#This Row],[5-3]] + tech_5_5*TblTech[[#This Row],[5-5]]))*spec_dp_ore,0)</f>
        <v>10</v>
      </c>
      <c r="BJ126" s="113">
        <f ca="1">ROUNDUP((1-MIN(TblMili[[#This Row],[Smithies]]*smithy_bonus,smithy_bonus_cap) + tech_3_5*TblTech[[#This Row],[3-5]] + tech_5_3*TblTech[[#This Row],[5-3]] + tech_5_5*TblTech[[#This Row],[5-5]])*elite1_plat,0)</f>
        <v>656</v>
      </c>
      <c r="BK126" s="113">
        <f ca="1">ROUNDUP(IF(race="Gnome",1,(1-MIN(TblMili[[#This Row],[Smithies]]*smithy_bonus,smithy_bonus_cap) + tech_3_5*TblTech[[#This Row],[3-5]] + tech_5_3*TblTech[[#This Row],[5-3]] + tech_5_5*TblTech[[#This Row],[5-5]]))*elite1_ore,0)</f>
        <v>48</v>
      </c>
      <c r="BL126" s="113">
        <f ca="1">ROUNDUP((1-MIN(TblMili[[#This Row],[Smithies]]*smithy_bonus,smithy_bonus_cap) + tech_3_5*TblTech[[#This Row],[3-5]] + tech_5_3*TblTech[[#This Row],[5-3]] + tech_5_5*TblTech[[#This Row],[5-5]])*elite2_plat,0)</f>
        <v>800</v>
      </c>
      <c r="BM126" s="113">
        <f ca="1">ROUNDUP(IF(race="Gnome",1,(1-MIN(TblMili[[#This Row],[Smithies]]*smithy_bonus,smithy_bonus_cap) + tech_3_5*TblTech[[#This Row],[3-5]] + tech_5_3*TblTech[[#This Row],[5-3]] + tech_5_5*TblTech[[#This Row],[5-5]]))*elite2_ore,0)</f>
        <v>64</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0.75</v>
      </c>
      <c r="BS126" s="208">
        <f ca="1">TblMili[[#This Row],[WG''s]]</f>
        <v>0</v>
      </c>
      <c r="BT126" s="323">
        <f ca="1">IF(mystic_cap="none",TblMili[[#This Row],[Hill]]/mystic_bonus,MIN(mystic_cap,TblMili[[#This Row],[Hill]]/mystic_bonus))</f>
        <v>3.75</v>
      </c>
      <c r="BU126" s="323">
        <f ca="1">IF(druid_op_cap="none",TblMili[[#This Row],[Hill]]/druid_op_bonus,MIN(druid_op_cap,TblMili[[#This Row],[Hill]]/druid_op_bonus))</f>
        <v>3.75</v>
      </c>
      <c r="BV126" s="323">
        <f ca="1">IF(druid_dp_cap="none",TblMili[[#This Row],[Hill]]/druid_dp_bonus,MIN(druid_dp_cap,TblMili[[#This Row],[Hill]]/druid_dp_bonus))</f>
        <v>3.75</v>
      </c>
      <c r="BW126" s="323">
        <f ca="1">MIN(dryad_cap,TblMili[[#This Row],[Hill]]/dryad_bonus)</f>
        <v>3.75</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250</v>
      </c>
      <c r="CB126" s="124">
        <f ca="1">MIN(TblMili[[#This Row],[Unit 1]],TblMili[[#This Row],[Unit 4]])*2</f>
        <v>0</v>
      </c>
      <c r="CC126" s="323">
        <f ca="1">MIN(frost_mage_cap,TblMili[[#This Row],[Hill]]/frost_mage_bonus)</f>
        <v>3</v>
      </c>
      <c r="CD126" s="59">
        <f ca="1">MIN(ice_elem_cap,TblMili[[#This Row],[Raw (2)]]*ice_elem_bonus)</f>
        <v>5.8333333333333334E-2</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3.95</v>
      </c>
      <c r="CK12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6" s="113">
        <f ca="1">TblMili[[#This Row],[Mystic bonus]]*TblMili[[#This Row],[Unit 3]]+TblMili[[#This Row],[Druid bonus]]*TblMili[[#This Row],[Unit 4]]</f>
        <v>4836.25</v>
      </c>
      <c r="CM126" s="201">
        <f ca="1">MIN(6,TblMili[[#This Row],[Dryad]]+Races!$F$35)*1.8 +  IF(TblMili[[#This Row],[Dryad]]+Races!$F$35&gt;6,(TblMili[[#This Row],[Dryad]]+Races!$F$35-6)*0.2,0) - Races!$I$19</f>
        <v>3.7500000000000009</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5.4</v>
      </c>
      <c r="CT126" s="201">
        <f ca="1">1.8 * MIN(MAX(TblMili[[#This Row],[Ice Elemental]]+Races!$E$71,Races!$F$71),6)  +  0.45 * MIN(MIN(TblMili[[#This Row],[Ice Elemental]]+Races!$E$71,Races!$F$71),6)  +  0.2 * ( MAX(TblMili[[#This Row],[Ice Elemental]]+Races!$E$71-6,0) + MAX(Races!$F$71-6,0) )  -  Races!$I$71</f>
        <v>0.10500000000000043</v>
      </c>
      <c r="CU126" s="113">
        <f ca="1">TblMili[[#This Row],[Frost Mage bonus]]*TblMili[[#This Row],[Unit 3]]+TblMili[[#This Row],[Ice Elemental bonus]]*TblMili[[#This Row],[Unit 4]]</f>
        <v>738.00000000000023</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6" s="184"/>
      <c r="DA126" s="326">
        <f ca="1">(TblMili[[#This Row],[Wizards]]+2*TblMili[[#This Row],[Archmages]])/TblConstr[[#This Row],[Land]]</f>
        <v>5.8333333333333334E-2</v>
      </c>
      <c r="DB126" s="326">
        <f ca="1">TblMili[[#This Row],[Raw (2)]]*(1+race_wizard_strength+IF(TblMili[[#This Row],[Hour]]&gt;72,tech_magical_weaponry_wiz*TblTech[[#This Row],[3-5]],0))</f>
        <v>5.8333333333333334E-2</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5541</v>
      </c>
      <c r="C127" s="203">
        <f ca="1">TblPop[[#This Row],[Military%]]</f>
        <v>0.5561577838000602</v>
      </c>
      <c r="D127" s="184"/>
      <c r="E127" s="49">
        <f ca="1">OFFSET(TblMili[[#This Row],[Unit 1]],-1,0) + OFFSET(TblMili[[#This Row],[Train Unit 1]],-9,0) - TblMili[[#This Row],[Release Unit 1]]</f>
        <v>0</v>
      </c>
      <c r="F127" s="49">
        <f ca="1">OFFSET(TblMili[[#This Row],[Unit 2]],-1,0) + OFFSET(TblMili[[#This Row],[Train Unit 2]],-9,0)-TblMili[[#This Row],[Release Unit 2]]</f>
        <v>1081</v>
      </c>
      <c r="G127" s="49">
        <f ca="1">OFFSET(TblMili[[#This Row],[Unit 3]],-1,0) + OFFSET(TblMili[[#This Row],[Train Unit 3]],-12,0)-TblMili[[#This Row],[Release Unit 3]]</f>
        <v>125</v>
      </c>
      <c r="H127" s="49">
        <f ca="1">OFFSET(TblMili[[#This Row],[Unit 4]],-1,0) + OFFSET(TblMili[[#This Row],[Train Unit 4]],-12,0)-TblMili[[#This Row],[Release Unit 4]]</f>
        <v>600</v>
      </c>
      <c r="I127" s="49">
        <f ca="1">OFFSET(TblMili[[#This Row],[Spies]],-1,0) + OFFSET(TblMili[[#This Row],[Train Spies]],-12,0) - TblMili[[#This Row],[Release Spies]]</f>
        <v>35</v>
      </c>
      <c r="J127" s="49">
        <f ca="1">OFFSET(TblMili[[#This Row],[Wizards]],-1,0) + OFFSET(TblMili[[#This Row],[Train Wiz]],-12,0) - TblMili[[#This Row],[Release Wizards]]-TblMili[[#This Row],[Train Arch]]</f>
        <v>35</v>
      </c>
      <c r="K127" s="49">
        <f ca="1">OFFSET(TblMili[[#This Row],[Archmages]],-1,0) + OFFSET(TblMili[[#This Row],[Train Arch]],-12,0) - TblMili[[#This Row],[Release Arch]]</f>
        <v>0</v>
      </c>
      <c r="L127" s="184"/>
      <c r="M127" s="113">
        <f ca="1">TblProd[[#This Row],[Networth]]</f>
        <v>29507.5</v>
      </c>
      <c r="N127" s="184"/>
      <c r="O127" s="319">
        <f ca="1">TblMili[[#This Row],[Unit 1]]*spec_op+TblMili[[#This Row],[Unit 3]]*(elite1_base_op+dark_elf*TblMili[[#This Row],[Adept]])+TblMili[[#This Row],[Unit 4]]*(elite2_base_op+icekin*TblMili[[#This Row],[Ice Elemental]]+woodie*TblMili[[#This Row],[Druid (op)]]+orc*TblMili[[#This Row],[Orc]])+kobold*TblMili[[#This Row],[Overlords]]</f>
        <v>3850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3946.2499999999995</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7" s="319">
        <f ca="1">TblMili[[#This Row],[Non Draft]]+TblMili[[#This Row],[Draftees]]</f>
        <v>9458</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5793</v>
      </c>
      <c r="V127" s="319">
        <f ca="1">TblMili[[#This Row],[Draft]] * (1 + TblMili[[#This Row],[Mods_Def]])</f>
        <v>9458</v>
      </c>
      <c r="W127" s="319">
        <f ca="1">TblConstr[[#This Row],[Land]]</f>
        <v>600</v>
      </c>
      <c r="X127" s="322"/>
      <c r="Y127" s="327">
        <f ca="1">IF(TblMili[[#This Row],[Set]]&lt;&gt;"",TblMili[[#This Row],[Set]],OFFSET(TblMili[[#This Row],[Draftrate]],-1,0))</f>
        <v>0.9</v>
      </c>
      <c r="Z127" s="113">
        <f ca="1">OFFSET(TblMili[[#This Row],[Draftees]],-1,0)+OFFSET(TblPop[[#This Row],[Draft Growth]],-1,0) - SUM(TblMili[[#This Row],[Train Unit 1]:[Train Wiz]]) - TblMili[[#This Row],[Release Draft]] + SUM(TblMili[[#This Row],[Release Unit 1]:[Release Arch]]) -TblExplore[[#This Row],[Draftees (2)]]</f>
        <v>3665</v>
      </c>
      <c r="AA127" s="200"/>
      <c r="AB127" s="234">
        <f ca="1">(TblConstr[[#This Row],[Tot Smi]]+TblConstr[[#This Row],[Dest Smi]])/(TblConstr[[#This Row],[Land]]-TblExplore[[#This Row],[Land Bonus]]*20)</f>
        <v>0.18</v>
      </c>
      <c r="AC127" s="178"/>
      <c r="AD127" s="318">
        <f>TblMili[[#This Row],[Hour]]</f>
        <v>124</v>
      </c>
      <c r="AE127" s="179">
        <f ca="1">TblExplore[[#This Row],[Time]]</f>
        <v>44409.874999999702</v>
      </c>
      <c r="AF127" s="232"/>
      <c r="AG127" s="232"/>
      <c r="AH127" s="232"/>
      <c r="AI127" s="232"/>
      <c r="AJ127" s="232"/>
      <c r="AK127" s="232"/>
      <c r="AL127" s="232"/>
      <c r="AM127" s="184"/>
      <c r="AN127" s="113">
        <f ca="1">TblProd[[#This Row],[Platinum]]</f>
        <v>1742652</v>
      </c>
      <c r="AO127" s="113">
        <f ca="1">INDEX(TblProd[[#Headers],[Lumber]]:TblProd[[#This Row],[Ore]],COUNTA(TblProd[[#Headers],[Lumber]]:TblProd[[#This Row],[Lumber]]),MATCH(Military!$AO$2,TblProd[[#Headers],[Lumber]:[Ore]],0))</f>
        <v>110990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44409.874999999702</v>
      </c>
      <c r="AT127" s="113">
        <f ca="1">TblMili[[#This Row],[Draftees]]</f>
        <v>3665</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176</v>
      </c>
      <c r="BG127" s="113">
        <f ca="1">ROUNDUP(IF(race="Gnome",1,(1-MIN(TblMili[[#This Row],[Smithies]]*smithy_bonus,smithy_bonus_cap) + tech_3_5*TblTech[[#This Row],[3-5]] + tech_5_3*TblTech[[#This Row],[5-3]] + tech_5_5*TblTech[[#This Row],[5-5]]))*spec_op_ore,0)</f>
        <v>16</v>
      </c>
      <c r="BH127" s="113">
        <f ca="1">ROUNDUP((1-MIN(TblMili[[#This Row],[Smithies]]*smithy_bonus,smithy_bonus_cap) + tech_3_5*TblTech[[#This Row],[3-5]] + tech_5_3*TblTech[[#This Row],[5-3]] + tech_5_5*TblTech[[#This Row],[5-5]])*spec_dp_plat,0)</f>
        <v>176</v>
      </c>
      <c r="BI127" s="113">
        <f ca="1">ROUNDUP(IF(race="Gnome",1,(1-MIN(TblMili[[#This Row],[Smithies]]*smithy_bonus,smithy_bonus_cap) + tech_3_5*TblTech[[#This Row],[3-5]] + tech_5_3*TblTech[[#This Row],[5-3]] + tech_5_5*TblTech[[#This Row],[5-5]]))*spec_dp_ore,0)</f>
        <v>10</v>
      </c>
      <c r="BJ127" s="113">
        <f ca="1">ROUNDUP((1-MIN(TblMili[[#This Row],[Smithies]]*smithy_bonus,smithy_bonus_cap) + tech_3_5*TblTech[[#This Row],[3-5]] + tech_5_3*TblTech[[#This Row],[5-3]] + tech_5_5*TblTech[[#This Row],[5-5]])*elite1_plat,0)</f>
        <v>656</v>
      </c>
      <c r="BK127" s="113">
        <f ca="1">ROUNDUP(IF(race="Gnome",1,(1-MIN(TblMili[[#This Row],[Smithies]]*smithy_bonus,smithy_bonus_cap) + tech_3_5*TblTech[[#This Row],[3-5]] + tech_5_3*TblTech[[#This Row],[5-3]] + tech_5_5*TblTech[[#This Row],[5-5]]))*elite1_ore,0)</f>
        <v>48</v>
      </c>
      <c r="BL127" s="113">
        <f ca="1">ROUNDUP((1-MIN(TblMili[[#This Row],[Smithies]]*smithy_bonus,smithy_bonus_cap) + tech_3_5*TblTech[[#This Row],[3-5]] + tech_5_3*TblTech[[#This Row],[5-3]] + tech_5_5*TblTech[[#This Row],[5-5]])*elite2_plat,0)</f>
        <v>800</v>
      </c>
      <c r="BM127" s="113">
        <f ca="1">ROUNDUP(IF(race="Gnome",1,(1-MIN(TblMili[[#This Row],[Smithies]]*smithy_bonus,smithy_bonus_cap) + tech_3_5*TblTech[[#This Row],[3-5]] + tech_5_3*TblTech[[#This Row],[5-3]] + tech_5_5*TblTech[[#This Row],[5-5]]))*elite2_ore,0)</f>
        <v>64</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0.75</v>
      </c>
      <c r="BS127" s="208">
        <f ca="1">TblMili[[#This Row],[WG''s]]</f>
        <v>0</v>
      </c>
      <c r="BT127" s="323">
        <f ca="1">IF(mystic_cap="none",TblMili[[#This Row],[Hill]]/mystic_bonus,MIN(mystic_cap,TblMili[[#This Row],[Hill]]/mystic_bonus))</f>
        <v>3.75</v>
      </c>
      <c r="BU127" s="323">
        <f ca="1">IF(druid_op_cap="none",TblMili[[#This Row],[Hill]]/druid_op_bonus,MIN(druid_op_cap,TblMili[[#This Row],[Hill]]/druid_op_bonus))</f>
        <v>3.75</v>
      </c>
      <c r="BV127" s="323">
        <f ca="1">IF(druid_dp_cap="none",TblMili[[#This Row],[Hill]]/druid_dp_bonus,MIN(druid_dp_cap,TblMili[[#This Row],[Hill]]/druid_dp_bonus))</f>
        <v>3.75</v>
      </c>
      <c r="BW127" s="323">
        <f ca="1">MIN(dryad_cap,TblMili[[#This Row],[Hill]]/dryad_bonus)</f>
        <v>3.75</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250</v>
      </c>
      <c r="CB127" s="124">
        <f ca="1">MIN(TblMili[[#This Row],[Unit 1]],TblMili[[#This Row],[Unit 4]])*2</f>
        <v>0</v>
      </c>
      <c r="CC127" s="323">
        <f ca="1">MIN(frost_mage_cap,TblMili[[#This Row],[Hill]]/frost_mage_bonus)</f>
        <v>3</v>
      </c>
      <c r="CD127" s="59">
        <f ca="1">MIN(ice_elem_cap,TblMili[[#This Row],[Raw (2)]]*ice_elem_bonus)</f>
        <v>5.8333333333333334E-2</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3.95</v>
      </c>
      <c r="CK12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7" s="113">
        <f ca="1">TblMili[[#This Row],[Mystic bonus]]*TblMili[[#This Row],[Unit 3]]+TblMili[[#This Row],[Druid bonus]]*TblMili[[#This Row],[Unit 4]]</f>
        <v>4836.25</v>
      </c>
      <c r="CM127" s="201">
        <f ca="1">MIN(6,TblMili[[#This Row],[Dryad]]+Races!$F$35)*1.8 +  IF(TblMili[[#This Row],[Dryad]]+Races!$F$35&gt;6,(TblMili[[#This Row],[Dryad]]+Races!$F$35-6)*0.2,0) - Races!$I$19</f>
        <v>3.7500000000000009</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5.4</v>
      </c>
      <c r="CT127" s="201">
        <f ca="1">1.8 * MIN(MAX(TblMili[[#This Row],[Ice Elemental]]+Races!$E$71,Races!$F$71),6)  +  0.45 * MIN(MIN(TblMili[[#This Row],[Ice Elemental]]+Races!$E$71,Races!$F$71),6)  +  0.2 * ( MAX(TblMili[[#This Row],[Ice Elemental]]+Races!$E$71-6,0) + MAX(Races!$F$71-6,0) )  -  Races!$I$71</f>
        <v>0.10500000000000043</v>
      </c>
      <c r="CU127" s="113">
        <f ca="1">TblMili[[#This Row],[Frost Mage bonus]]*TblMili[[#This Row],[Unit 3]]+TblMili[[#This Row],[Ice Elemental bonus]]*TblMili[[#This Row],[Unit 4]]</f>
        <v>738.00000000000023</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7" s="184"/>
      <c r="DA127" s="326">
        <f ca="1">(TblMili[[#This Row],[Wizards]]+2*TblMili[[#This Row],[Archmages]])/TblConstr[[#This Row],[Land]]</f>
        <v>5.8333333333333334E-2</v>
      </c>
      <c r="DB127" s="326">
        <f ca="1">TblMili[[#This Row],[Raw (2)]]*(1+race_wizard_strength+IF(TblMili[[#This Row],[Hour]]&gt;72,tech_magical_weaponry_wiz*TblTech[[#This Row],[3-5]],0))</f>
        <v>5.8333333333333334E-2</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5585</v>
      </c>
      <c r="C128" s="203">
        <f ca="1">TblPop[[#This Row],[Military%]]</f>
        <v>0.56057412425976116</v>
      </c>
      <c r="D128" s="184"/>
      <c r="E128" s="49">
        <f ca="1">OFFSET(TblMili[[#This Row],[Unit 1]],-1,0) + OFFSET(TblMili[[#This Row],[Train Unit 1]],-9,0) - TblMili[[#This Row],[Release Unit 1]]</f>
        <v>0</v>
      </c>
      <c r="F128" s="49">
        <f ca="1">OFFSET(TblMili[[#This Row],[Unit 2]],-1,0) + OFFSET(TblMili[[#This Row],[Train Unit 2]],-9,0)-TblMili[[#This Row],[Release Unit 2]]</f>
        <v>1081</v>
      </c>
      <c r="G128" s="49">
        <f ca="1">OFFSET(TblMili[[#This Row],[Unit 3]],-1,0) + OFFSET(TblMili[[#This Row],[Train Unit 3]],-12,0)-TblMili[[#This Row],[Release Unit 3]]</f>
        <v>125</v>
      </c>
      <c r="H128" s="49">
        <f ca="1">OFFSET(TblMili[[#This Row],[Unit 4]],-1,0) + OFFSET(TblMili[[#This Row],[Train Unit 4]],-12,0)-TblMili[[#This Row],[Release Unit 4]]</f>
        <v>600</v>
      </c>
      <c r="I128" s="49">
        <f ca="1">OFFSET(TblMili[[#This Row],[Spies]],-1,0) + OFFSET(TblMili[[#This Row],[Train Spies]],-12,0) - TblMili[[#This Row],[Release Spies]]</f>
        <v>35</v>
      </c>
      <c r="J128" s="49">
        <f ca="1">OFFSET(TblMili[[#This Row],[Wizards]],-1,0) + OFFSET(TblMili[[#This Row],[Train Wiz]],-12,0) - TblMili[[#This Row],[Release Wizards]]-TblMili[[#This Row],[Train Arch]]</f>
        <v>35</v>
      </c>
      <c r="K128" s="49">
        <f ca="1">OFFSET(TblMili[[#This Row],[Archmages]],-1,0) + OFFSET(TblMili[[#This Row],[Train Arch]],-12,0) - TblMili[[#This Row],[Release Arch]]</f>
        <v>0</v>
      </c>
      <c r="L128" s="184"/>
      <c r="M128" s="113">
        <f ca="1">TblProd[[#This Row],[Networth]]</f>
        <v>29507.5</v>
      </c>
      <c r="N128" s="184"/>
      <c r="O128" s="319">
        <f ca="1">TblMili[[#This Row],[Unit 1]]*spec_op+TblMili[[#This Row],[Unit 3]]*(elite1_base_op+dark_elf*TblMili[[#This Row],[Adept]])+TblMili[[#This Row],[Unit 4]]*(elite2_base_op+icekin*TblMili[[#This Row],[Ice Elemental]]+woodie*TblMili[[#This Row],[Druid (op)]]+orc*TblMili[[#This Row],[Orc]])+kobold*TblMili[[#This Row],[Overlords]]</f>
        <v>3850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3946.2499999999995</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8" s="319">
        <f ca="1">TblMili[[#This Row],[Non Draft]]+TblMili[[#This Row],[Draftees]]</f>
        <v>9502</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5793</v>
      </c>
      <c r="V128" s="319">
        <f ca="1">TblMili[[#This Row],[Draft]] * (1 + TblMili[[#This Row],[Mods_Def]])</f>
        <v>9502</v>
      </c>
      <c r="W128" s="319">
        <f ca="1">TblConstr[[#This Row],[Land]]</f>
        <v>600</v>
      </c>
      <c r="X128" s="322"/>
      <c r="Y128" s="327">
        <f ca="1">IF(TblMili[[#This Row],[Set]]&lt;&gt;"",TblMili[[#This Row],[Set]],OFFSET(TblMili[[#This Row],[Draftrate]],-1,0))</f>
        <v>0.9</v>
      </c>
      <c r="Z128" s="113">
        <f ca="1">OFFSET(TblMili[[#This Row],[Draftees]],-1,0)+OFFSET(TblPop[[#This Row],[Draft Growth]],-1,0) - SUM(TblMili[[#This Row],[Train Unit 1]:[Train Wiz]]) - TblMili[[#This Row],[Release Draft]] + SUM(TblMili[[#This Row],[Release Unit 1]:[Release Arch]]) -TblExplore[[#This Row],[Draftees (2)]]</f>
        <v>3709</v>
      </c>
      <c r="AA128" s="200"/>
      <c r="AB128" s="234">
        <f ca="1">(TblConstr[[#This Row],[Tot Smi]]+TblConstr[[#This Row],[Dest Smi]])/(TblConstr[[#This Row],[Land]]-TblExplore[[#This Row],[Land Bonus]]*20)</f>
        <v>0.18</v>
      </c>
      <c r="AC128" s="178"/>
      <c r="AD128" s="318">
        <f>TblMili[[#This Row],[Hour]]</f>
        <v>125</v>
      </c>
      <c r="AE128" s="179">
        <f ca="1">TblExplore[[#This Row],[Time]]</f>
        <v>44409.916666666366</v>
      </c>
      <c r="AF128" s="232"/>
      <c r="AG128" s="232"/>
      <c r="AH128" s="232"/>
      <c r="AI128" s="232"/>
      <c r="AJ128" s="232"/>
      <c r="AK128" s="232"/>
      <c r="AL128" s="232"/>
      <c r="AM128" s="184"/>
      <c r="AN128" s="113">
        <f ca="1">TblProd[[#This Row],[Platinum]]</f>
        <v>1766471</v>
      </c>
      <c r="AO128" s="113">
        <f ca="1">INDEX(TblProd[[#Headers],[Lumber]]:TblProd[[#This Row],[Ore]],COUNTA(TblProd[[#Headers],[Lumber]]:TblProd[[#This Row],[Lumber]]),MATCH(Military!$AO$2,TblProd[[#Headers],[Lumber]:[Ore]],0))</f>
        <v>112790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44409.916666666366</v>
      </c>
      <c r="AT128" s="113">
        <f ca="1">TblMili[[#This Row],[Draftees]]</f>
        <v>3709</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176</v>
      </c>
      <c r="BG128" s="113">
        <f ca="1">ROUNDUP(IF(race="Gnome",1,(1-MIN(TblMili[[#This Row],[Smithies]]*smithy_bonus,smithy_bonus_cap) + tech_3_5*TblTech[[#This Row],[3-5]] + tech_5_3*TblTech[[#This Row],[5-3]] + tech_5_5*TblTech[[#This Row],[5-5]]))*spec_op_ore,0)</f>
        <v>16</v>
      </c>
      <c r="BH128" s="113">
        <f ca="1">ROUNDUP((1-MIN(TblMili[[#This Row],[Smithies]]*smithy_bonus,smithy_bonus_cap) + tech_3_5*TblTech[[#This Row],[3-5]] + tech_5_3*TblTech[[#This Row],[5-3]] + tech_5_5*TblTech[[#This Row],[5-5]])*spec_dp_plat,0)</f>
        <v>176</v>
      </c>
      <c r="BI128" s="113">
        <f ca="1">ROUNDUP(IF(race="Gnome",1,(1-MIN(TblMili[[#This Row],[Smithies]]*smithy_bonus,smithy_bonus_cap) + tech_3_5*TblTech[[#This Row],[3-5]] + tech_5_3*TblTech[[#This Row],[5-3]] + tech_5_5*TblTech[[#This Row],[5-5]]))*spec_dp_ore,0)</f>
        <v>10</v>
      </c>
      <c r="BJ128" s="113">
        <f ca="1">ROUNDUP((1-MIN(TblMili[[#This Row],[Smithies]]*smithy_bonus,smithy_bonus_cap) + tech_3_5*TblTech[[#This Row],[3-5]] + tech_5_3*TblTech[[#This Row],[5-3]] + tech_5_5*TblTech[[#This Row],[5-5]])*elite1_plat,0)</f>
        <v>656</v>
      </c>
      <c r="BK128" s="113">
        <f ca="1">ROUNDUP(IF(race="Gnome",1,(1-MIN(TblMili[[#This Row],[Smithies]]*smithy_bonus,smithy_bonus_cap) + tech_3_5*TblTech[[#This Row],[3-5]] + tech_5_3*TblTech[[#This Row],[5-3]] + tech_5_5*TblTech[[#This Row],[5-5]]))*elite1_ore,0)</f>
        <v>48</v>
      </c>
      <c r="BL128" s="113">
        <f ca="1">ROUNDUP((1-MIN(TblMili[[#This Row],[Smithies]]*smithy_bonus,smithy_bonus_cap) + tech_3_5*TblTech[[#This Row],[3-5]] + tech_5_3*TblTech[[#This Row],[5-3]] + tech_5_5*TblTech[[#This Row],[5-5]])*elite2_plat,0)</f>
        <v>800</v>
      </c>
      <c r="BM128" s="113">
        <f ca="1">ROUNDUP(IF(race="Gnome",1,(1-MIN(TblMili[[#This Row],[Smithies]]*smithy_bonus,smithy_bonus_cap) + tech_3_5*TblTech[[#This Row],[3-5]] + tech_5_3*TblTech[[#This Row],[5-3]] + tech_5_5*TblTech[[#This Row],[5-5]]))*elite2_ore,0)</f>
        <v>64</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0.75</v>
      </c>
      <c r="BS128" s="208">
        <f ca="1">TblMili[[#This Row],[WG''s]]</f>
        <v>0</v>
      </c>
      <c r="BT128" s="323">
        <f ca="1">IF(mystic_cap="none",TblMili[[#This Row],[Hill]]/mystic_bonus,MIN(mystic_cap,TblMili[[#This Row],[Hill]]/mystic_bonus))</f>
        <v>3.75</v>
      </c>
      <c r="BU128" s="323">
        <f ca="1">IF(druid_op_cap="none",TblMili[[#This Row],[Hill]]/druid_op_bonus,MIN(druid_op_cap,TblMili[[#This Row],[Hill]]/druid_op_bonus))</f>
        <v>3.75</v>
      </c>
      <c r="BV128" s="323">
        <f ca="1">IF(druid_dp_cap="none",TblMili[[#This Row],[Hill]]/druid_dp_bonus,MIN(druid_dp_cap,TblMili[[#This Row],[Hill]]/druid_dp_bonus))</f>
        <v>3.75</v>
      </c>
      <c r="BW128" s="323">
        <f ca="1">MIN(dryad_cap,TblMili[[#This Row],[Hill]]/dryad_bonus)</f>
        <v>3.75</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250</v>
      </c>
      <c r="CB128" s="124">
        <f ca="1">MIN(TblMili[[#This Row],[Unit 1]],TblMili[[#This Row],[Unit 4]])*2</f>
        <v>0</v>
      </c>
      <c r="CC128" s="323">
        <f ca="1">MIN(frost_mage_cap,TblMili[[#This Row],[Hill]]/frost_mage_bonus)</f>
        <v>3</v>
      </c>
      <c r="CD128" s="59">
        <f ca="1">MIN(ice_elem_cap,TblMili[[#This Row],[Raw (2)]]*ice_elem_bonus)</f>
        <v>5.8333333333333334E-2</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3.95</v>
      </c>
      <c r="CK12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8" s="113">
        <f ca="1">TblMili[[#This Row],[Mystic bonus]]*TblMili[[#This Row],[Unit 3]]+TblMili[[#This Row],[Druid bonus]]*TblMili[[#This Row],[Unit 4]]</f>
        <v>4836.25</v>
      </c>
      <c r="CM128" s="201">
        <f ca="1">MIN(6,TblMili[[#This Row],[Dryad]]+Races!$F$35)*1.8 +  IF(TblMili[[#This Row],[Dryad]]+Races!$F$35&gt;6,(TblMili[[#This Row],[Dryad]]+Races!$F$35-6)*0.2,0) - Races!$I$19</f>
        <v>3.7500000000000009</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5.4</v>
      </c>
      <c r="CT128" s="201">
        <f ca="1">1.8 * MIN(MAX(TblMili[[#This Row],[Ice Elemental]]+Races!$E$71,Races!$F$71),6)  +  0.45 * MIN(MIN(TblMili[[#This Row],[Ice Elemental]]+Races!$E$71,Races!$F$71),6)  +  0.2 * ( MAX(TblMili[[#This Row],[Ice Elemental]]+Races!$E$71-6,0) + MAX(Races!$F$71-6,0) )  -  Races!$I$71</f>
        <v>0.10500000000000043</v>
      </c>
      <c r="CU128" s="113">
        <f ca="1">TblMili[[#This Row],[Frost Mage bonus]]*TblMili[[#This Row],[Unit 3]]+TblMili[[#This Row],[Ice Elemental bonus]]*TblMili[[#This Row],[Unit 4]]</f>
        <v>738.00000000000023</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8" s="184"/>
      <c r="DA128" s="326">
        <f ca="1">(TblMili[[#This Row],[Wizards]]+2*TblMili[[#This Row],[Archmages]])/TblConstr[[#This Row],[Land]]</f>
        <v>5.8333333333333334E-2</v>
      </c>
      <c r="DB128" s="326">
        <f ca="1">TblMili[[#This Row],[Raw (2)]]*(1+race_wizard_strength+IF(TblMili[[#This Row],[Hour]]&gt;72,tech_magical_weaponry_wiz*TblTech[[#This Row],[3-5]],0))</f>
        <v>5.8333333333333334E-2</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5629</v>
      </c>
      <c r="C129" s="203">
        <f ca="1">TblPop[[#This Row],[Military%]]</f>
        <v>0.56499046471946202</v>
      </c>
      <c r="D129" s="184"/>
      <c r="E129" s="49">
        <f ca="1">OFFSET(TblMili[[#This Row],[Unit 1]],-1,0) + OFFSET(TblMili[[#This Row],[Train Unit 1]],-9,0) - TblMili[[#This Row],[Release Unit 1]]</f>
        <v>0</v>
      </c>
      <c r="F129" s="49">
        <f ca="1">OFFSET(TblMili[[#This Row],[Unit 2]],-1,0) + OFFSET(TblMili[[#This Row],[Train Unit 2]],-9,0)-TblMili[[#This Row],[Release Unit 2]]</f>
        <v>1081</v>
      </c>
      <c r="G129" s="49">
        <f ca="1">OFFSET(TblMili[[#This Row],[Unit 3]],-1,0) + OFFSET(TblMili[[#This Row],[Train Unit 3]],-12,0)-TblMili[[#This Row],[Release Unit 3]]</f>
        <v>125</v>
      </c>
      <c r="H129" s="49">
        <f ca="1">OFFSET(TblMili[[#This Row],[Unit 4]],-1,0) + OFFSET(TblMili[[#This Row],[Train Unit 4]],-12,0)-TblMili[[#This Row],[Release Unit 4]]</f>
        <v>600</v>
      </c>
      <c r="I129" s="49">
        <f ca="1">OFFSET(TblMili[[#This Row],[Spies]],-1,0) + OFFSET(TblMili[[#This Row],[Train Spies]],-12,0) - TblMili[[#This Row],[Release Spies]]</f>
        <v>35</v>
      </c>
      <c r="J129" s="49">
        <f ca="1">OFFSET(TblMili[[#This Row],[Wizards]],-1,0) + OFFSET(TblMili[[#This Row],[Train Wiz]],-12,0) - TblMili[[#This Row],[Release Wizards]]-TblMili[[#This Row],[Train Arch]]</f>
        <v>35</v>
      </c>
      <c r="K129" s="49">
        <f ca="1">OFFSET(TblMili[[#This Row],[Archmages]],-1,0) + OFFSET(TblMili[[#This Row],[Train Arch]],-12,0) - TblMili[[#This Row],[Release Arch]]</f>
        <v>0</v>
      </c>
      <c r="L129" s="184"/>
      <c r="M129" s="113">
        <f ca="1">TblProd[[#This Row],[Networth]]</f>
        <v>29507.5</v>
      </c>
      <c r="N129" s="184"/>
      <c r="O129" s="319">
        <f ca="1">TblMili[[#This Row],[Unit 1]]*spec_op+TblMili[[#This Row],[Unit 3]]*(elite1_base_op+dark_elf*TblMili[[#This Row],[Adept]])+TblMili[[#This Row],[Unit 4]]*(elite2_base_op+icekin*TblMili[[#This Row],[Ice Elemental]]+woodie*TblMili[[#This Row],[Druid (op)]]+orc*TblMili[[#This Row],[Orc]])+kobold*TblMili[[#This Row],[Overlords]]</f>
        <v>3850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3946.2499999999995</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9" s="319">
        <f ca="1">TblMili[[#This Row],[Non Draft]]+TblMili[[#This Row],[Draftees]]</f>
        <v>9546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5793</v>
      </c>
      <c r="V129" s="319">
        <f ca="1">TblMili[[#This Row],[Draft]] * (1 + TblMili[[#This Row],[Mods_Def]])</f>
        <v>9546</v>
      </c>
      <c r="W129" s="319">
        <f ca="1">TblConstr[[#This Row],[Land]]</f>
        <v>600</v>
      </c>
      <c r="X129" s="322"/>
      <c r="Y129" s="327">
        <f ca="1">IF(TblMili[[#This Row],[Set]]&lt;&gt;"",TblMili[[#This Row],[Set]],OFFSET(TblMili[[#This Row],[Draftrate]],-1,0))</f>
        <v>0.9</v>
      </c>
      <c r="Z129" s="113">
        <f ca="1">OFFSET(TblMili[[#This Row],[Draftees]],-1,0)+OFFSET(TblPop[[#This Row],[Draft Growth]],-1,0) - SUM(TblMili[[#This Row],[Train Unit 1]:[Train Wiz]]) - TblMili[[#This Row],[Release Draft]] + SUM(TblMili[[#This Row],[Release Unit 1]:[Release Arch]]) -TblExplore[[#This Row],[Draftees (2)]]</f>
        <v>3753</v>
      </c>
      <c r="AA129" s="200"/>
      <c r="AB129" s="234">
        <f ca="1">(TblConstr[[#This Row],[Tot Smi]]+TblConstr[[#This Row],[Dest Smi]])/(TblConstr[[#This Row],[Land]]-TblExplore[[#This Row],[Land Bonus]]*20)</f>
        <v>0.18</v>
      </c>
      <c r="AC129" s="178"/>
      <c r="AD129" s="318">
        <f>TblMili[[#This Row],[Hour]]</f>
        <v>126</v>
      </c>
      <c r="AE129" s="179">
        <f ca="1">TblExplore[[#This Row],[Time]]</f>
        <v>44409.95833333303</v>
      </c>
      <c r="AF129" s="232"/>
      <c r="AG129" s="232"/>
      <c r="AH129" s="232"/>
      <c r="AI129" s="232"/>
      <c r="AJ129" s="232"/>
      <c r="AK129" s="232"/>
      <c r="AL129" s="232"/>
      <c r="AM129" s="184"/>
      <c r="AN129" s="113">
        <f ca="1">TblProd[[#This Row],[Platinum]]</f>
        <v>1790171</v>
      </c>
      <c r="AO129" s="113">
        <f ca="1">INDEX(TblProd[[#Headers],[Lumber]]:TblProd[[#This Row],[Ore]],COUNTA(TblProd[[#Headers],[Lumber]]:TblProd[[#This Row],[Lumber]]),MATCH(Military!$AO$2,TblProd[[#Headers],[Lumber]:[Ore]],0))</f>
        <v>114590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44409.95833333303</v>
      </c>
      <c r="AT129" s="113">
        <f ca="1">TblMili[[#This Row],[Draftees]]</f>
        <v>3753</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176</v>
      </c>
      <c r="BG129" s="113">
        <f ca="1">ROUNDUP(IF(race="Gnome",1,(1-MIN(TblMili[[#This Row],[Smithies]]*smithy_bonus,smithy_bonus_cap) + tech_3_5*TblTech[[#This Row],[3-5]] + tech_5_3*TblTech[[#This Row],[5-3]] + tech_5_5*TblTech[[#This Row],[5-5]]))*spec_op_ore,0)</f>
        <v>16</v>
      </c>
      <c r="BH129" s="113">
        <f ca="1">ROUNDUP((1-MIN(TblMili[[#This Row],[Smithies]]*smithy_bonus,smithy_bonus_cap) + tech_3_5*TblTech[[#This Row],[3-5]] + tech_5_3*TblTech[[#This Row],[5-3]] + tech_5_5*TblTech[[#This Row],[5-5]])*spec_dp_plat,0)</f>
        <v>176</v>
      </c>
      <c r="BI129" s="113">
        <f ca="1">ROUNDUP(IF(race="Gnome",1,(1-MIN(TblMili[[#This Row],[Smithies]]*smithy_bonus,smithy_bonus_cap) + tech_3_5*TblTech[[#This Row],[3-5]] + tech_5_3*TblTech[[#This Row],[5-3]] + tech_5_5*TblTech[[#This Row],[5-5]]))*spec_dp_ore,0)</f>
        <v>10</v>
      </c>
      <c r="BJ129" s="113">
        <f ca="1">ROUNDUP((1-MIN(TblMili[[#This Row],[Smithies]]*smithy_bonus,smithy_bonus_cap) + tech_3_5*TblTech[[#This Row],[3-5]] + tech_5_3*TblTech[[#This Row],[5-3]] + tech_5_5*TblTech[[#This Row],[5-5]])*elite1_plat,0)</f>
        <v>656</v>
      </c>
      <c r="BK129" s="113">
        <f ca="1">ROUNDUP(IF(race="Gnome",1,(1-MIN(TblMili[[#This Row],[Smithies]]*smithy_bonus,smithy_bonus_cap) + tech_3_5*TblTech[[#This Row],[3-5]] + tech_5_3*TblTech[[#This Row],[5-3]] + tech_5_5*TblTech[[#This Row],[5-5]]))*elite1_ore,0)</f>
        <v>48</v>
      </c>
      <c r="BL129" s="113">
        <f ca="1">ROUNDUP((1-MIN(TblMili[[#This Row],[Smithies]]*smithy_bonus,smithy_bonus_cap) + tech_3_5*TblTech[[#This Row],[3-5]] + tech_5_3*TblTech[[#This Row],[5-3]] + tech_5_5*TblTech[[#This Row],[5-5]])*elite2_plat,0)</f>
        <v>800</v>
      </c>
      <c r="BM129" s="113">
        <f ca="1">ROUNDUP(IF(race="Gnome",1,(1-MIN(TblMili[[#This Row],[Smithies]]*smithy_bonus,smithy_bonus_cap) + tech_3_5*TblTech[[#This Row],[3-5]] + tech_5_3*TblTech[[#This Row],[5-3]] + tech_5_5*TblTech[[#This Row],[5-5]]))*elite2_ore,0)</f>
        <v>64</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0.75</v>
      </c>
      <c r="BS129" s="208">
        <f ca="1">TblMili[[#This Row],[WG''s]]</f>
        <v>0</v>
      </c>
      <c r="BT129" s="323">
        <f ca="1">IF(mystic_cap="none",TblMili[[#This Row],[Hill]]/mystic_bonus,MIN(mystic_cap,TblMili[[#This Row],[Hill]]/mystic_bonus))</f>
        <v>3.75</v>
      </c>
      <c r="BU129" s="323">
        <f ca="1">IF(druid_op_cap="none",TblMili[[#This Row],[Hill]]/druid_op_bonus,MIN(druid_op_cap,TblMili[[#This Row],[Hill]]/druid_op_bonus))</f>
        <v>3.75</v>
      </c>
      <c r="BV129" s="323">
        <f ca="1">IF(druid_dp_cap="none",TblMili[[#This Row],[Hill]]/druid_dp_bonus,MIN(druid_dp_cap,TblMili[[#This Row],[Hill]]/druid_dp_bonus))</f>
        <v>3.75</v>
      </c>
      <c r="BW129" s="323">
        <f ca="1">MIN(dryad_cap,TblMili[[#This Row],[Hill]]/dryad_bonus)</f>
        <v>3.75</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250</v>
      </c>
      <c r="CB129" s="124">
        <f ca="1">MIN(TblMili[[#This Row],[Unit 1]],TblMili[[#This Row],[Unit 4]])*2</f>
        <v>0</v>
      </c>
      <c r="CC129" s="323">
        <f ca="1">MIN(frost_mage_cap,TblMili[[#This Row],[Hill]]/frost_mage_bonus)</f>
        <v>3</v>
      </c>
      <c r="CD129" s="59">
        <f ca="1">MIN(ice_elem_cap,TblMili[[#This Row],[Raw (2)]]*ice_elem_bonus)</f>
        <v>5.8333333333333334E-2</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3.95</v>
      </c>
      <c r="CK12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9" s="113">
        <f ca="1">TblMili[[#This Row],[Mystic bonus]]*TblMili[[#This Row],[Unit 3]]+TblMili[[#This Row],[Druid bonus]]*TblMili[[#This Row],[Unit 4]]</f>
        <v>4836.25</v>
      </c>
      <c r="CM129" s="201">
        <f ca="1">MIN(6,TblMili[[#This Row],[Dryad]]+Races!$F$35)*1.8 +  IF(TblMili[[#This Row],[Dryad]]+Races!$F$35&gt;6,(TblMili[[#This Row],[Dryad]]+Races!$F$35-6)*0.2,0) - Races!$I$19</f>
        <v>3.7500000000000009</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5.4</v>
      </c>
      <c r="CT129" s="201">
        <f ca="1">1.8 * MIN(MAX(TblMili[[#This Row],[Ice Elemental]]+Races!$E$71,Races!$F$71),6)  +  0.45 * MIN(MIN(TblMili[[#This Row],[Ice Elemental]]+Races!$E$71,Races!$F$71),6)  +  0.2 * ( MAX(TblMili[[#This Row],[Ice Elemental]]+Races!$E$71-6,0) + MAX(Races!$F$71-6,0) )  -  Races!$I$71</f>
        <v>0.10500000000000043</v>
      </c>
      <c r="CU129" s="113">
        <f ca="1">TblMili[[#This Row],[Frost Mage bonus]]*TblMili[[#This Row],[Unit 3]]+TblMili[[#This Row],[Ice Elemental bonus]]*TblMili[[#This Row],[Unit 4]]</f>
        <v>738.00000000000023</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9" s="184"/>
      <c r="DA129" s="326">
        <f ca="1">(TblMili[[#This Row],[Wizards]]+2*TblMili[[#This Row],[Archmages]])/TblConstr[[#This Row],[Land]]</f>
        <v>5.8333333333333334E-2</v>
      </c>
      <c r="DB129" s="326">
        <f ca="1">TblMili[[#This Row],[Raw (2)]]*(1+race_wizard_strength+IF(TblMili[[#This Row],[Hour]]&gt;72,tech_magical_weaponry_wiz*TblTech[[#This Row],[3-5]],0))</f>
        <v>5.8333333333333334E-2</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5672</v>
      </c>
      <c r="C130" s="203">
        <f ca="1">TblPop[[#This Row],[Military%]]</f>
        <v>0.56930643380507884</v>
      </c>
      <c r="D130" s="184"/>
      <c r="E130" s="49">
        <f ca="1">OFFSET(TblMili[[#This Row],[Unit 1]],-1,0) + OFFSET(TblMili[[#This Row],[Train Unit 1]],-9,0) - TblMili[[#This Row],[Release Unit 1]]</f>
        <v>0</v>
      </c>
      <c r="F130" s="49">
        <f ca="1">OFFSET(TblMili[[#This Row],[Unit 2]],-1,0) + OFFSET(TblMili[[#This Row],[Train Unit 2]],-9,0)-TblMili[[#This Row],[Release Unit 2]]</f>
        <v>1081</v>
      </c>
      <c r="G130" s="49">
        <f ca="1">OFFSET(TblMili[[#This Row],[Unit 3]],-1,0) + OFFSET(TblMili[[#This Row],[Train Unit 3]],-12,0)-TblMili[[#This Row],[Release Unit 3]]</f>
        <v>125</v>
      </c>
      <c r="H130" s="49">
        <f ca="1">OFFSET(TblMili[[#This Row],[Unit 4]],-1,0) + OFFSET(TblMili[[#This Row],[Train Unit 4]],-12,0)-TblMili[[#This Row],[Release Unit 4]]</f>
        <v>600</v>
      </c>
      <c r="I130" s="49">
        <f ca="1">OFFSET(TblMili[[#This Row],[Spies]],-1,0) + OFFSET(TblMili[[#This Row],[Train Spies]],-12,0) - TblMili[[#This Row],[Release Spies]]</f>
        <v>35</v>
      </c>
      <c r="J130" s="49">
        <f ca="1">OFFSET(TblMili[[#This Row],[Wizards]],-1,0) + OFFSET(TblMili[[#This Row],[Train Wiz]],-12,0) - TblMili[[#This Row],[Release Wizards]]-TblMili[[#This Row],[Train Arch]]</f>
        <v>35</v>
      </c>
      <c r="K130" s="49">
        <f ca="1">OFFSET(TblMili[[#This Row],[Archmages]],-1,0) + OFFSET(TblMili[[#This Row],[Train Arch]],-12,0) - TblMili[[#This Row],[Release Arch]]</f>
        <v>0</v>
      </c>
      <c r="L130" s="184"/>
      <c r="M130" s="113">
        <f ca="1">TblProd[[#This Row],[Networth]]</f>
        <v>29507.5</v>
      </c>
      <c r="N130" s="184"/>
      <c r="O130" s="319">
        <f ca="1">TblMili[[#This Row],[Unit 1]]*spec_op+TblMili[[#This Row],[Unit 3]]*(elite1_base_op+dark_elf*TblMili[[#This Row],[Adept]])+TblMili[[#This Row],[Unit 4]]*(elite2_base_op+icekin*TblMili[[#This Row],[Ice Elemental]]+woodie*TblMili[[#This Row],[Druid (op)]]+orc*TblMili[[#This Row],[Orc]])+kobold*TblMili[[#This Row],[Overlords]]</f>
        <v>3850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3946.2499999999995</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0" s="319">
        <f ca="1">TblMili[[#This Row],[Non Draft]]+TblMili[[#This Row],[Draftees]]</f>
        <v>9589</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5793</v>
      </c>
      <c r="V130" s="319">
        <f ca="1">TblMili[[#This Row],[Draft]] * (1 + TblMili[[#This Row],[Mods_Def]])</f>
        <v>9589</v>
      </c>
      <c r="W130" s="319">
        <f ca="1">TblConstr[[#This Row],[Land]]</f>
        <v>600</v>
      </c>
      <c r="X130" s="322"/>
      <c r="Y130" s="327">
        <f ca="1">IF(TblMili[[#This Row],[Set]]&lt;&gt;"",TblMili[[#This Row],[Set]],OFFSET(TblMili[[#This Row],[Draftrate]],-1,0))</f>
        <v>0.9</v>
      </c>
      <c r="Z130" s="113">
        <f ca="1">OFFSET(TblMili[[#This Row],[Draftees]],-1,0)+OFFSET(TblPop[[#This Row],[Draft Growth]],-1,0) - SUM(TblMili[[#This Row],[Train Unit 1]:[Train Wiz]]) - TblMili[[#This Row],[Release Draft]] + SUM(TblMili[[#This Row],[Release Unit 1]:[Release Arch]]) -TblExplore[[#This Row],[Draftees (2)]]</f>
        <v>3796</v>
      </c>
      <c r="AA130" s="200"/>
      <c r="AB130" s="234">
        <f ca="1">(TblConstr[[#This Row],[Tot Smi]]+TblConstr[[#This Row],[Dest Smi]])/(TblConstr[[#This Row],[Land]]-TblExplore[[#This Row],[Land Bonus]]*20)</f>
        <v>0.18</v>
      </c>
      <c r="AC130" s="178"/>
      <c r="AD130" s="318">
        <f>TblMili[[#This Row],[Hour]]</f>
        <v>127</v>
      </c>
      <c r="AE130" s="179">
        <f ca="1">TblExplore[[#This Row],[Time]]</f>
        <v>44409.999999999694</v>
      </c>
      <c r="AF130" s="232"/>
      <c r="AG130" s="232"/>
      <c r="AH130" s="232"/>
      <c r="AI130" s="232"/>
      <c r="AJ130" s="232"/>
      <c r="AK130" s="232"/>
      <c r="AL130" s="232"/>
      <c r="AM130" s="184"/>
      <c r="AN130" s="113">
        <f ca="1">TblProd[[#This Row],[Platinum]]</f>
        <v>1813752</v>
      </c>
      <c r="AO130" s="113">
        <f ca="1">INDEX(TblProd[[#Headers],[Lumber]]:TblProd[[#This Row],[Ore]],COUNTA(TblProd[[#Headers],[Lumber]]:TblProd[[#This Row],[Lumber]]),MATCH(Military!$AO$2,TblProd[[#Headers],[Lumber]:[Ore]],0))</f>
        <v>116390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44409.999999999694</v>
      </c>
      <c r="AT130" s="113">
        <f ca="1">TblMili[[#This Row],[Draftees]]</f>
        <v>3796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176</v>
      </c>
      <c r="BG130" s="113">
        <f ca="1">ROUNDUP(IF(race="Gnome",1,(1-MIN(TblMili[[#This Row],[Smithies]]*smithy_bonus,smithy_bonus_cap) + tech_3_5*TblTech[[#This Row],[3-5]] + tech_5_3*TblTech[[#This Row],[5-3]] + tech_5_5*TblTech[[#This Row],[5-5]]))*spec_op_ore,0)</f>
        <v>16</v>
      </c>
      <c r="BH130" s="113">
        <f ca="1">ROUNDUP((1-MIN(TblMili[[#This Row],[Smithies]]*smithy_bonus,smithy_bonus_cap) + tech_3_5*TblTech[[#This Row],[3-5]] + tech_5_3*TblTech[[#This Row],[5-3]] + tech_5_5*TblTech[[#This Row],[5-5]])*spec_dp_plat,0)</f>
        <v>176</v>
      </c>
      <c r="BI130" s="113">
        <f ca="1">ROUNDUP(IF(race="Gnome",1,(1-MIN(TblMili[[#This Row],[Smithies]]*smithy_bonus,smithy_bonus_cap) + tech_3_5*TblTech[[#This Row],[3-5]] + tech_5_3*TblTech[[#This Row],[5-3]] + tech_5_5*TblTech[[#This Row],[5-5]]))*spec_dp_ore,0)</f>
        <v>10</v>
      </c>
      <c r="BJ130" s="113">
        <f ca="1">ROUNDUP((1-MIN(TblMili[[#This Row],[Smithies]]*smithy_bonus,smithy_bonus_cap) + tech_3_5*TblTech[[#This Row],[3-5]] + tech_5_3*TblTech[[#This Row],[5-3]] + tech_5_5*TblTech[[#This Row],[5-5]])*elite1_plat,0)</f>
        <v>656</v>
      </c>
      <c r="BK130" s="113">
        <f ca="1">ROUNDUP(IF(race="Gnome",1,(1-MIN(TblMili[[#This Row],[Smithies]]*smithy_bonus,smithy_bonus_cap) + tech_3_5*TblTech[[#This Row],[3-5]] + tech_5_3*TblTech[[#This Row],[5-3]] + tech_5_5*TblTech[[#This Row],[5-5]]))*elite1_ore,0)</f>
        <v>48</v>
      </c>
      <c r="BL130" s="113">
        <f ca="1">ROUNDUP((1-MIN(TblMili[[#This Row],[Smithies]]*smithy_bonus,smithy_bonus_cap) + tech_3_5*TblTech[[#This Row],[3-5]] + tech_5_3*TblTech[[#This Row],[5-3]] + tech_5_5*TblTech[[#This Row],[5-5]])*elite2_plat,0)</f>
        <v>800</v>
      </c>
      <c r="BM130" s="113">
        <f ca="1">ROUNDUP(IF(race="Gnome",1,(1-MIN(TblMili[[#This Row],[Smithies]]*smithy_bonus,smithy_bonus_cap) + tech_3_5*TblTech[[#This Row],[3-5]] + tech_5_3*TblTech[[#This Row],[5-3]] + tech_5_5*TblTech[[#This Row],[5-5]]))*elite2_ore,0)</f>
        <v>64</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0.75</v>
      </c>
      <c r="BS130" s="208">
        <f ca="1">TblMili[[#This Row],[WG''s]]</f>
        <v>0</v>
      </c>
      <c r="BT130" s="323">
        <f ca="1">IF(mystic_cap="none",TblMili[[#This Row],[Hill]]/mystic_bonus,MIN(mystic_cap,TblMili[[#This Row],[Hill]]/mystic_bonus))</f>
        <v>3.75</v>
      </c>
      <c r="BU130" s="323">
        <f ca="1">IF(druid_op_cap="none",TblMili[[#This Row],[Hill]]/druid_op_bonus,MIN(druid_op_cap,TblMili[[#This Row],[Hill]]/druid_op_bonus))</f>
        <v>3.75</v>
      </c>
      <c r="BV130" s="323">
        <f ca="1">IF(druid_dp_cap="none",TblMili[[#This Row],[Hill]]/druid_dp_bonus,MIN(druid_dp_cap,TblMili[[#This Row],[Hill]]/druid_dp_bonus))</f>
        <v>3.75</v>
      </c>
      <c r="BW130" s="323">
        <f ca="1">MIN(dryad_cap,TblMili[[#This Row],[Hill]]/dryad_bonus)</f>
        <v>3.75</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250</v>
      </c>
      <c r="CB130" s="124">
        <f ca="1">MIN(TblMili[[#This Row],[Unit 1]],TblMili[[#This Row],[Unit 4]])*2</f>
        <v>0</v>
      </c>
      <c r="CC130" s="323">
        <f ca="1">MIN(frost_mage_cap,TblMili[[#This Row],[Hill]]/frost_mage_bonus)</f>
        <v>3</v>
      </c>
      <c r="CD130" s="59">
        <f ca="1">MIN(ice_elem_cap,TblMili[[#This Row],[Raw (2)]]*ice_elem_bonus)</f>
        <v>5.8333333333333334E-2</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3.95</v>
      </c>
      <c r="CK13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0" s="113">
        <f ca="1">TblMili[[#This Row],[Mystic bonus]]*TblMili[[#This Row],[Unit 3]]+TblMili[[#This Row],[Druid bonus]]*TblMili[[#This Row],[Unit 4]]</f>
        <v>4836.25</v>
      </c>
      <c r="CM130" s="201">
        <f ca="1">MIN(6,TblMili[[#This Row],[Dryad]]+Races!$F$35)*1.8 +  IF(TblMili[[#This Row],[Dryad]]+Races!$F$35&gt;6,(TblMili[[#This Row],[Dryad]]+Races!$F$35-6)*0.2,0) - Races!$I$19</f>
        <v>3.7500000000000009</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5.4</v>
      </c>
      <c r="CT130" s="201">
        <f ca="1">1.8 * MIN(MAX(TblMili[[#This Row],[Ice Elemental]]+Races!$E$71,Races!$F$71),6)  +  0.45 * MIN(MIN(TblMili[[#This Row],[Ice Elemental]]+Races!$E$71,Races!$F$71),6)  +  0.2 * ( MAX(TblMili[[#This Row],[Ice Elemental]]+Races!$E$71-6,0) + MAX(Races!$F$71-6,0) )  -  Races!$I$71</f>
        <v>0.10500000000000043</v>
      </c>
      <c r="CU130" s="113">
        <f ca="1">TblMili[[#This Row],[Frost Mage bonus]]*TblMili[[#This Row],[Unit 3]]+TblMili[[#This Row],[Ice Elemental bonus]]*TblMili[[#This Row],[Unit 4]]</f>
        <v>738.00000000000023</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0" s="184"/>
      <c r="DA130" s="326">
        <f ca="1">(TblMili[[#This Row],[Wizards]]+2*TblMili[[#This Row],[Archmages]])/TblConstr[[#This Row],[Land]]</f>
        <v>5.8333333333333334E-2</v>
      </c>
      <c r="DB130" s="326">
        <f ca="1">TblMili[[#This Row],[Raw (2)]]*(1+race_wizard_strength+IF(TblMili[[#This Row],[Hour]]&gt;72,tech_magical_weaponry_wiz*TblTech[[#This Row],[3-5]],0))</f>
        <v>5.8333333333333334E-2</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5715</v>
      </c>
      <c r="C131" s="203">
        <f ca="1">TblPop[[#This Row],[Military%]]</f>
        <v>0.57362240289069555</v>
      </c>
      <c r="D131" s="184"/>
      <c r="E131" s="49">
        <f ca="1">OFFSET(TblMili[[#This Row],[Unit 1]],-1,0) + OFFSET(TblMili[[#This Row],[Train Unit 1]],-9,0) - TblMili[[#This Row],[Release Unit 1]]</f>
        <v>0</v>
      </c>
      <c r="F131" s="49">
        <f ca="1">OFFSET(TblMili[[#This Row],[Unit 2]],-1,0) + OFFSET(TblMili[[#This Row],[Train Unit 2]],-9,0)-TblMili[[#This Row],[Release Unit 2]]</f>
        <v>1081</v>
      </c>
      <c r="G131" s="49">
        <f ca="1">OFFSET(TblMili[[#This Row],[Unit 3]],-1,0) + OFFSET(TblMili[[#This Row],[Train Unit 3]],-12,0)-TblMili[[#This Row],[Release Unit 3]]</f>
        <v>125</v>
      </c>
      <c r="H131" s="49">
        <f ca="1">OFFSET(TblMili[[#This Row],[Unit 4]],-1,0) + OFFSET(TblMili[[#This Row],[Train Unit 4]],-12,0)-TblMili[[#This Row],[Release Unit 4]]</f>
        <v>600</v>
      </c>
      <c r="I131" s="49">
        <f ca="1">OFFSET(TblMili[[#This Row],[Spies]],-1,0) + OFFSET(TblMili[[#This Row],[Train Spies]],-12,0) - TblMili[[#This Row],[Release Spies]]</f>
        <v>35</v>
      </c>
      <c r="J131" s="49">
        <f ca="1">OFFSET(TblMili[[#This Row],[Wizards]],-1,0) + OFFSET(TblMili[[#This Row],[Train Wiz]],-12,0) - TblMili[[#This Row],[Release Wizards]]-TblMili[[#This Row],[Train Arch]]</f>
        <v>35</v>
      </c>
      <c r="K131" s="49">
        <f ca="1">OFFSET(TblMili[[#This Row],[Archmages]],-1,0) + OFFSET(TblMili[[#This Row],[Train Arch]],-12,0) - TblMili[[#This Row],[Release Arch]]</f>
        <v>0</v>
      </c>
      <c r="L131" s="184"/>
      <c r="M131" s="113">
        <f ca="1">TblProd[[#This Row],[Networth]]</f>
        <v>29507.5</v>
      </c>
      <c r="N131" s="184"/>
      <c r="O131" s="319">
        <f ca="1">TblMili[[#This Row],[Unit 1]]*spec_op+TblMili[[#This Row],[Unit 3]]*(elite1_base_op+dark_elf*TblMili[[#This Row],[Adept]])+TblMili[[#This Row],[Unit 4]]*(elite2_base_op+icekin*TblMili[[#This Row],[Ice Elemental]]+woodie*TblMili[[#This Row],[Druid (op)]]+orc*TblMili[[#This Row],[Orc]])+kobold*TblMili[[#This Row],[Overlords]]</f>
        <v>3850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3946.2499999999995</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1" s="319">
        <f ca="1">TblMili[[#This Row],[Non Draft]]+TblMili[[#This Row],[Draftees]]</f>
        <v>9632</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5793</v>
      </c>
      <c r="V131" s="319">
        <f ca="1">TblMili[[#This Row],[Draft]] * (1 + TblMili[[#This Row],[Mods_Def]])</f>
        <v>9632</v>
      </c>
      <c r="W131" s="319">
        <f ca="1">TblConstr[[#This Row],[Land]]</f>
        <v>600</v>
      </c>
      <c r="X131" s="322"/>
      <c r="Y131" s="327">
        <f ca="1">IF(TblMili[[#This Row],[Set]]&lt;&gt;"",TblMili[[#This Row],[Set]],OFFSET(TblMili[[#This Row],[Draftrate]],-1,0))</f>
        <v>0.9</v>
      </c>
      <c r="Z131" s="113">
        <f ca="1">OFFSET(TblMili[[#This Row],[Draftees]],-1,0)+OFFSET(TblPop[[#This Row],[Draft Growth]],-1,0) - SUM(TblMili[[#This Row],[Train Unit 1]:[Train Wiz]]) - TblMili[[#This Row],[Release Draft]] + SUM(TblMili[[#This Row],[Release Unit 1]:[Release Arch]]) -TblExplore[[#This Row],[Draftees (2)]]</f>
        <v>3839</v>
      </c>
      <c r="AA131" s="200"/>
      <c r="AB131" s="234">
        <f ca="1">(TblConstr[[#This Row],[Tot Smi]]+TblConstr[[#This Row],[Dest Smi]])/(TblConstr[[#This Row],[Land]]-TblExplore[[#This Row],[Land Bonus]]*20)</f>
        <v>0.18</v>
      </c>
      <c r="AC131" s="178"/>
      <c r="AD131" s="318">
        <f>TblMili[[#This Row],[Hour]]</f>
        <v>128</v>
      </c>
      <c r="AE131" s="179">
        <f ca="1">TblExplore[[#This Row],[Time]]</f>
        <v>44410.041666666359</v>
      </c>
      <c r="AF131" s="232"/>
      <c r="AG131" s="232"/>
      <c r="AH131" s="232"/>
      <c r="AI131" s="232"/>
      <c r="AJ131" s="232"/>
      <c r="AK131" s="232"/>
      <c r="AL131" s="232"/>
      <c r="AM131" s="184"/>
      <c r="AN131" s="113">
        <f ca="1">TblProd[[#This Row],[Platinum]]</f>
        <v>1837217</v>
      </c>
      <c r="AO131" s="113">
        <f ca="1">INDEX(TblProd[[#Headers],[Lumber]]:TblProd[[#This Row],[Ore]],COUNTA(TblProd[[#Headers],[Lumber]]:TblProd[[#This Row],[Lumber]]),MATCH(Military!$AO$2,TblProd[[#Headers],[Lumber]:[Ore]],0))</f>
        <v>118190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44410.041666666359</v>
      </c>
      <c r="AT131" s="113">
        <f ca="1">TblMili[[#This Row],[Draftees]]</f>
        <v>3839</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176</v>
      </c>
      <c r="BG131" s="113">
        <f ca="1">ROUNDUP(IF(race="Gnome",1,(1-MIN(TblMili[[#This Row],[Smithies]]*smithy_bonus,smithy_bonus_cap) + tech_3_5*TblTech[[#This Row],[3-5]] + tech_5_3*TblTech[[#This Row],[5-3]] + tech_5_5*TblTech[[#This Row],[5-5]]))*spec_op_ore,0)</f>
        <v>16</v>
      </c>
      <c r="BH131" s="113">
        <f ca="1">ROUNDUP((1-MIN(TblMili[[#This Row],[Smithies]]*smithy_bonus,smithy_bonus_cap) + tech_3_5*TblTech[[#This Row],[3-5]] + tech_5_3*TblTech[[#This Row],[5-3]] + tech_5_5*TblTech[[#This Row],[5-5]])*spec_dp_plat,0)</f>
        <v>176</v>
      </c>
      <c r="BI131" s="113">
        <f ca="1">ROUNDUP(IF(race="Gnome",1,(1-MIN(TblMili[[#This Row],[Smithies]]*smithy_bonus,smithy_bonus_cap) + tech_3_5*TblTech[[#This Row],[3-5]] + tech_5_3*TblTech[[#This Row],[5-3]] + tech_5_5*TblTech[[#This Row],[5-5]]))*spec_dp_ore,0)</f>
        <v>10</v>
      </c>
      <c r="BJ131" s="113">
        <f ca="1">ROUNDUP((1-MIN(TblMili[[#This Row],[Smithies]]*smithy_bonus,smithy_bonus_cap) + tech_3_5*TblTech[[#This Row],[3-5]] + tech_5_3*TblTech[[#This Row],[5-3]] + tech_5_5*TblTech[[#This Row],[5-5]])*elite1_plat,0)</f>
        <v>656</v>
      </c>
      <c r="BK131" s="113">
        <f ca="1">ROUNDUP(IF(race="Gnome",1,(1-MIN(TblMili[[#This Row],[Smithies]]*smithy_bonus,smithy_bonus_cap) + tech_3_5*TblTech[[#This Row],[3-5]] + tech_5_3*TblTech[[#This Row],[5-3]] + tech_5_5*TblTech[[#This Row],[5-5]]))*elite1_ore,0)</f>
        <v>48</v>
      </c>
      <c r="BL131" s="113">
        <f ca="1">ROUNDUP((1-MIN(TblMili[[#This Row],[Smithies]]*smithy_bonus,smithy_bonus_cap) + tech_3_5*TblTech[[#This Row],[3-5]] + tech_5_3*TblTech[[#This Row],[5-3]] + tech_5_5*TblTech[[#This Row],[5-5]])*elite2_plat,0)</f>
        <v>800</v>
      </c>
      <c r="BM131" s="113">
        <f ca="1">ROUNDUP(IF(race="Gnome",1,(1-MIN(TblMili[[#This Row],[Smithies]]*smithy_bonus,smithy_bonus_cap) + tech_3_5*TblTech[[#This Row],[3-5]] + tech_5_3*TblTech[[#This Row],[5-3]] + tech_5_5*TblTech[[#This Row],[5-5]]))*elite2_ore,0)</f>
        <v>64</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0.75</v>
      </c>
      <c r="BS131" s="208">
        <f ca="1">TblMili[[#This Row],[WG''s]]</f>
        <v>0</v>
      </c>
      <c r="BT131" s="323">
        <f ca="1">IF(mystic_cap="none",TblMili[[#This Row],[Hill]]/mystic_bonus,MIN(mystic_cap,TblMili[[#This Row],[Hill]]/mystic_bonus))</f>
        <v>3.75</v>
      </c>
      <c r="BU131" s="323">
        <f ca="1">IF(druid_op_cap="none",TblMili[[#This Row],[Hill]]/druid_op_bonus,MIN(druid_op_cap,TblMili[[#This Row],[Hill]]/druid_op_bonus))</f>
        <v>3.75</v>
      </c>
      <c r="BV131" s="323">
        <f ca="1">IF(druid_dp_cap="none",TblMili[[#This Row],[Hill]]/druid_dp_bonus,MIN(druid_dp_cap,TblMili[[#This Row],[Hill]]/druid_dp_bonus))</f>
        <v>3.75</v>
      </c>
      <c r="BW131" s="323">
        <f ca="1">MIN(dryad_cap,TblMili[[#This Row],[Hill]]/dryad_bonus)</f>
        <v>3.75</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250</v>
      </c>
      <c r="CB131" s="124">
        <f ca="1">MIN(TblMili[[#This Row],[Unit 1]],TblMili[[#This Row],[Unit 4]])*2</f>
        <v>0</v>
      </c>
      <c r="CC131" s="323">
        <f ca="1">MIN(frost_mage_cap,TblMili[[#This Row],[Hill]]/frost_mage_bonus)</f>
        <v>3</v>
      </c>
      <c r="CD131" s="59">
        <f ca="1">MIN(ice_elem_cap,TblMili[[#This Row],[Raw (2)]]*ice_elem_bonus)</f>
        <v>5.8333333333333334E-2</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3.95</v>
      </c>
      <c r="CK13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1" s="113">
        <f ca="1">TblMili[[#This Row],[Mystic bonus]]*TblMili[[#This Row],[Unit 3]]+TblMili[[#This Row],[Druid bonus]]*TblMili[[#This Row],[Unit 4]]</f>
        <v>4836.25</v>
      </c>
      <c r="CM131" s="201">
        <f ca="1">MIN(6,TblMili[[#This Row],[Dryad]]+Races!$F$35)*1.8 +  IF(TblMili[[#This Row],[Dryad]]+Races!$F$35&gt;6,(TblMili[[#This Row],[Dryad]]+Races!$F$35-6)*0.2,0) - Races!$I$19</f>
        <v>3.7500000000000009</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5.4</v>
      </c>
      <c r="CT131" s="201">
        <f ca="1">1.8 * MIN(MAX(TblMili[[#This Row],[Ice Elemental]]+Races!$E$71,Races!$F$71),6)  +  0.45 * MIN(MIN(TblMili[[#This Row],[Ice Elemental]]+Races!$E$71,Races!$F$71),6)  +  0.2 * ( MAX(TblMili[[#This Row],[Ice Elemental]]+Races!$E$71-6,0) + MAX(Races!$F$71-6,0) )  -  Races!$I$71</f>
        <v>0.10500000000000043</v>
      </c>
      <c r="CU131" s="113">
        <f ca="1">TblMili[[#This Row],[Frost Mage bonus]]*TblMili[[#This Row],[Unit 3]]+TblMili[[#This Row],[Ice Elemental bonus]]*TblMili[[#This Row],[Unit 4]]</f>
        <v>738.00000000000023</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1" s="184"/>
      <c r="DA131" s="326">
        <f ca="1">(TblMili[[#This Row],[Wizards]]+2*TblMili[[#This Row],[Archmages]])/TblConstr[[#This Row],[Land]]</f>
        <v>5.8333333333333334E-2</v>
      </c>
      <c r="DB131" s="326">
        <f ca="1">TblMili[[#This Row],[Raw (2)]]*(1+race_wizard_strength+IF(TblMili[[#This Row],[Hour]]&gt;72,tech_magical_weaponry_wiz*TblTech[[#This Row],[3-5]],0))</f>
        <v>5.8333333333333334E-2</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5757</v>
      </c>
      <c r="C132" s="203">
        <f ca="1">TblPop[[#This Row],[Military%]]</f>
        <v>0.57783800060222823</v>
      </c>
      <c r="D132" s="184"/>
      <c r="E132" s="49">
        <f ca="1">OFFSET(TblMili[[#This Row],[Unit 1]],-1,0) + OFFSET(TblMili[[#This Row],[Train Unit 1]],-9,0) - TblMili[[#This Row],[Release Unit 1]]</f>
        <v>0</v>
      </c>
      <c r="F132" s="49">
        <f ca="1">OFFSET(TblMili[[#This Row],[Unit 2]],-1,0) + OFFSET(TblMili[[#This Row],[Train Unit 2]],-9,0)-TblMili[[#This Row],[Release Unit 2]]</f>
        <v>1081</v>
      </c>
      <c r="G132" s="49">
        <f ca="1">OFFSET(TblMili[[#This Row],[Unit 3]],-1,0) + OFFSET(TblMili[[#This Row],[Train Unit 3]],-12,0)-TblMili[[#This Row],[Release Unit 3]]</f>
        <v>125</v>
      </c>
      <c r="H132" s="49">
        <f ca="1">OFFSET(TblMili[[#This Row],[Unit 4]],-1,0) + OFFSET(TblMili[[#This Row],[Train Unit 4]],-12,0)-TblMili[[#This Row],[Release Unit 4]]</f>
        <v>600</v>
      </c>
      <c r="I132" s="49">
        <f ca="1">OFFSET(TblMili[[#This Row],[Spies]],-1,0) + OFFSET(TblMili[[#This Row],[Train Spies]],-12,0) - TblMili[[#This Row],[Release Spies]]</f>
        <v>35</v>
      </c>
      <c r="J132" s="49">
        <f ca="1">OFFSET(TblMili[[#This Row],[Wizards]],-1,0) + OFFSET(TblMili[[#This Row],[Train Wiz]],-12,0) - TblMili[[#This Row],[Release Wizards]]-TblMili[[#This Row],[Train Arch]]</f>
        <v>35</v>
      </c>
      <c r="K132" s="49">
        <f ca="1">OFFSET(TblMili[[#This Row],[Archmages]],-1,0) + OFFSET(TblMili[[#This Row],[Train Arch]],-12,0) - TblMili[[#This Row],[Release Arch]]</f>
        <v>0</v>
      </c>
      <c r="L132" s="184"/>
      <c r="M132" s="113">
        <f ca="1">TblProd[[#This Row],[Networth]]</f>
        <v>29507.5</v>
      </c>
      <c r="N132" s="184"/>
      <c r="O132" s="319">
        <f ca="1">TblMili[[#This Row],[Unit 1]]*spec_op+TblMili[[#This Row],[Unit 3]]*(elite1_base_op+dark_elf*TblMili[[#This Row],[Adept]])+TblMili[[#This Row],[Unit 4]]*(elite2_base_op+icekin*TblMili[[#This Row],[Ice Elemental]]+woodie*TblMili[[#This Row],[Druid (op)]]+orc*TblMili[[#This Row],[Orc]])+kobold*TblMili[[#This Row],[Overlords]]</f>
        <v>3850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3946.2499999999995</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2" s="319">
        <f ca="1">TblMili[[#This Row],[Non Draft]]+TblMili[[#This Row],[Draftees]]</f>
        <v>9674</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5793</v>
      </c>
      <c r="V132" s="319">
        <f ca="1">TblMili[[#This Row],[Draft]] * (1 + TblMili[[#This Row],[Mods_Def]])</f>
        <v>9674</v>
      </c>
      <c r="W132" s="319">
        <f ca="1">TblConstr[[#This Row],[Land]]</f>
        <v>600</v>
      </c>
      <c r="X132" s="322"/>
      <c r="Y132" s="327">
        <f ca="1">IF(TblMili[[#This Row],[Set]]&lt;&gt;"",TblMili[[#This Row],[Set]],OFFSET(TblMili[[#This Row],[Draftrate]],-1,0))</f>
        <v>0.9</v>
      </c>
      <c r="Z132" s="113">
        <f ca="1">OFFSET(TblMili[[#This Row],[Draftees]],-1,0)+OFFSET(TblPop[[#This Row],[Draft Growth]],-1,0) - SUM(TblMili[[#This Row],[Train Unit 1]:[Train Wiz]]) - TblMili[[#This Row],[Release Draft]] + SUM(TblMili[[#This Row],[Release Unit 1]:[Release Arch]]) -TblExplore[[#This Row],[Draftees (2)]]</f>
        <v>3881</v>
      </c>
      <c r="AA132" s="200"/>
      <c r="AB132" s="234">
        <f ca="1">(TblConstr[[#This Row],[Tot Smi]]+TblConstr[[#This Row],[Dest Smi]])/(TblConstr[[#This Row],[Land]]-TblExplore[[#This Row],[Land Bonus]]*20)</f>
        <v>0.18</v>
      </c>
      <c r="AC132" s="178"/>
      <c r="AD132" s="318">
        <f>TblMili[[#This Row],[Hour]]</f>
        <v>129</v>
      </c>
      <c r="AE132" s="179">
        <f ca="1">TblExplore[[#This Row],[Time]]</f>
        <v>44410.083333333023</v>
      </c>
      <c r="AF132" s="232"/>
      <c r="AG132" s="232"/>
      <c r="AH132" s="232"/>
      <c r="AI132" s="232"/>
      <c r="AJ132" s="232"/>
      <c r="AK132" s="232"/>
      <c r="AL132" s="232"/>
      <c r="AM132" s="184"/>
      <c r="AN132" s="113">
        <f ca="1">TblProd[[#This Row],[Platinum]]</f>
        <v>1860566</v>
      </c>
      <c r="AO132" s="113">
        <f ca="1">INDEX(TblProd[[#Headers],[Lumber]]:TblProd[[#This Row],[Ore]],COUNTA(TblProd[[#Headers],[Lumber]]:TblProd[[#This Row],[Lumber]]),MATCH(Military!$AO$2,TblProd[[#Headers],[Lumber]:[Ore]],0))</f>
        <v>119990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44410.083333333023</v>
      </c>
      <c r="AT132" s="113">
        <f ca="1">TblMili[[#This Row],[Draftees]]</f>
        <v>3881</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176</v>
      </c>
      <c r="BG132" s="113">
        <f ca="1">ROUNDUP(IF(race="Gnome",1,(1-MIN(TblMili[[#This Row],[Smithies]]*smithy_bonus,smithy_bonus_cap) + tech_3_5*TblTech[[#This Row],[3-5]] + tech_5_3*TblTech[[#This Row],[5-3]] + tech_5_5*TblTech[[#This Row],[5-5]]))*spec_op_ore,0)</f>
        <v>16</v>
      </c>
      <c r="BH132" s="113">
        <f ca="1">ROUNDUP((1-MIN(TblMili[[#This Row],[Smithies]]*smithy_bonus,smithy_bonus_cap) + tech_3_5*TblTech[[#This Row],[3-5]] + tech_5_3*TblTech[[#This Row],[5-3]] + tech_5_5*TblTech[[#This Row],[5-5]])*spec_dp_plat,0)</f>
        <v>176</v>
      </c>
      <c r="BI132" s="113">
        <f ca="1">ROUNDUP(IF(race="Gnome",1,(1-MIN(TblMili[[#This Row],[Smithies]]*smithy_bonus,smithy_bonus_cap) + tech_3_5*TblTech[[#This Row],[3-5]] + tech_5_3*TblTech[[#This Row],[5-3]] + tech_5_5*TblTech[[#This Row],[5-5]]))*spec_dp_ore,0)</f>
        <v>10</v>
      </c>
      <c r="BJ132" s="113">
        <f ca="1">ROUNDUP((1-MIN(TblMili[[#This Row],[Smithies]]*smithy_bonus,smithy_bonus_cap) + tech_3_5*TblTech[[#This Row],[3-5]] + tech_5_3*TblTech[[#This Row],[5-3]] + tech_5_5*TblTech[[#This Row],[5-5]])*elite1_plat,0)</f>
        <v>656</v>
      </c>
      <c r="BK132" s="113">
        <f ca="1">ROUNDUP(IF(race="Gnome",1,(1-MIN(TblMili[[#This Row],[Smithies]]*smithy_bonus,smithy_bonus_cap) + tech_3_5*TblTech[[#This Row],[3-5]] + tech_5_3*TblTech[[#This Row],[5-3]] + tech_5_5*TblTech[[#This Row],[5-5]]))*elite1_ore,0)</f>
        <v>48</v>
      </c>
      <c r="BL132" s="113">
        <f ca="1">ROUNDUP((1-MIN(TblMili[[#This Row],[Smithies]]*smithy_bonus,smithy_bonus_cap) + tech_3_5*TblTech[[#This Row],[3-5]] + tech_5_3*TblTech[[#This Row],[5-3]] + tech_5_5*TblTech[[#This Row],[5-5]])*elite2_plat,0)</f>
        <v>800</v>
      </c>
      <c r="BM132" s="113">
        <f ca="1">ROUNDUP(IF(race="Gnome",1,(1-MIN(TblMili[[#This Row],[Smithies]]*smithy_bonus,smithy_bonus_cap) + tech_3_5*TblTech[[#This Row],[3-5]] + tech_5_3*TblTech[[#This Row],[5-3]] + tech_5_5*TblTech[[#This Row],[5-5]]))*elite2_ore,0)</f>
        <v>64</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0.75</v>
      </c>
      <c r="BS132" s="208">
        <f ca="1">TblMili[[#This Row],[WG''s]]</f>
        <v>0</v>
      </c>
      <c r="BT132" s="323">
        <f ca="1">IF(mystic_cap="none",TblMili[[#This Row],[Hill]]/mystic_bonus,MIN(mystic_cap,TblMili[[#This Row],[Hill]]/mystic_bonus))</f>
        <v>3.75</v>
      </c>
      <c r="BU132" s="323">
        <f ca="1">IF(druid_op_cap="none",TblMili[[#This Row],[Hill]]/druid_op_bonus,MIN(druid_op_cap,TblMili[[#This Row],[Hill]]/druid_op_bonus))</f>
        <v>3.75</v>
      </c>
      <c r="BV132" s="323">
        <f ca="1">IF(druid_dp_cap="none",TblMili[[#This Row],[Hill]]/druid_dp_bonus,MIN(druid_dp_cap,TblMili[[#This Row],[Hill]]/druid_dp_bonus))</f>
        <v>3.75</v>
      </c>
      <c r="BW132" s="323">
        <f ca="1">MIN(dryad_cap,TblMili[[#This Row],[Hill]]/dryad_bonus)</f>
        <v>3.75</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250</v>
      </c>
      <c r="CB132" s="124">
        <f ca="1">MIN(TblMili[[#This Row],[Unit 1]],TblMili[[#This Row],[Unit 4]])*2</f>
        <v>0</v>
      </c>
      <c r="CC132" s="323">
        <f ca="1">MIN(frost_mage_cap,TblMili[[#This Row],[Hill]]/frost_mage_bonus)</f>
        <v>3</v>
      </c>
      <c r="CD132" s="59">
        <f ca="1">MIN(ice_elem_cap,TblMili[[#This Row],[Raw (2)]]*ice_elem_bonus)</f>
        <v>5.8333333333333334E-2</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3.95</v>
      </c>
      <c r="CK13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2" s="113">
        <f ca="1">TblMili[[#This Row],[Mystic bonus]]*TblMili[[#This Row],[Unit 3]]+TblMili[[#This Row],[Druid bonus]]*TblMili[[#This Row],[Unit 4]]</f>
        <v>4836.25</v>
      </c>
      <c r="CM132" s="201">
        <f ca="1">MIN(6,TblMili[[#This Row],[Dryad]]+Races!$F$35)*1.8 +  IF(TblMili[[#This Row],[Dryad]]+Races!$F$35&gt;6,(TblMili[[#This Row],[Dryad]]+Races!$F$35-6)*0.2,0) - Races!$I$19</f>
        <v>3.7500000000000009</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5.4</v>
      </c>
      <c r="CT132" s="201">
        <f ca="1">1.8 * MIN(MAX(TblMili[[#This Row],[Ice Elemental]]+Races!$E$71,Races!$F$71),6)  +  0.45 * MIN(MIN(TblMili[[#This Row],[Ice Elemental]]+Races!$E$71,Races!$F$71),6)  +  0.2 * ( MAX(TblMili[[#This Row],[Ice Elemental]]+Races!$E$71-6,0) + MAX(Races!$F$71-6,0) )  -  Races!$I$71</f>
        <v>0.10500000000000043</v>
      </c>
      <c r="CU132" s="113">
        <f ca="1">TblMili[[#This Row],[Frost Mage bonus]]*TblMili[[#This Row],[Unit 3]]+TblMili[[#This Row],[Ice Elemental bonus]]*TblMili[[#This Row],[Unit 4]]</f>
        <v>738.00000000000023</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2" s="184"/>
      <c r="DA132" s="326">
        <f ca="1">(TblMili[[#This Row],[Wizards]]+2*TblMili[[#This Row],[Archmages]])/TblConstr[[#This Row],[Land]]</f>
        <v>5.8333333333333334E-2</v>
      </c>
      <c r="DB132" s="326">
        <f ca="1">TblMili[[#This Row],[Raw (2)]]*(1+race_wizard_strength+IF(TblMili[[#This Row],[Hour]]&gt;72,tech_magical_weaponry_wiz*TblTech[[#This Row],[3-5]],0))</f>
        <v>5.8333333333333334E-2</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5799</v>
      </c>
      <c r="C133" s="203">
        <f ca="1">TblPop[[#This Row],[Military%]]</f>
        <v>0.58205359831376091</v>
      </c>
      <c r="D133" s="184"/>
      <c r="E133" s="49">
        <f ca="1">OFFSET(TblMili[[#This Row],[Unit 1]],-1,0) + OFFSET(TblMili[[#This Row],[Train Unit 1]],-9,0) - TblMili[[#This Row],[Release Unit 1]]</f>
        <v>0</v>
      </c>
      <c r="F133" s="49">
        <f ca="1">OFFSET(TblMili[[#This Row],[Unit 2]],-1,0) + OFFSET(TblMili[[#This Row],[Train Unit 2]],-9,0)-TblMili[[#This Row],[Release Unit 2]]</f>
        <v>1081</v>
      </c>
      <c r="G133" s="49">
        <f ca="1">OFFSET(TblMili[[#This Row],[Unit 3]],-1,0) + OFFSET(TblMili[[#This Row],[Train Unit 3]],-12,0)-TblMili[[#This Row],[Release Unit 3]]</f>
        <v>125</v>
      </c>
      <c r="H133" s="49">
        <f ca="1">OFFSET(TblMili[[#This Row],[Unit 4]],-1,0) + OFFSET(TblMili[[#This Row],[Train Unit 4]],-12,0)-TblMili[[#This Row],[Release Unit 4]]</f>
        <v>600</v>
      </c>
      <c r="I133" s="49">
        <f ca="1">OFFSET(TblMili[[#This Row],[Spies]],-1,0) + OFFSET(TblMili[[#This Row],[Train Spies]],-12,0) - TblMili[[#This Row],[Release Spies]]</f>
        <v>35</v>
      </c>
      <c r="J133" s="49">
        <f ca="1">OFFSET(TblMili[[#This Row],[Wizards]],-1,0) + OFFSET(TblMili[[#This Row],[Train Wiz]],-12,0) - TblMili[[#This Row],[Release Wizards]]-TblMili[[#This Row],[Train Arch]]</f>
        <v>35</v>
      </c>
      <c r="K133" s="49">
        <f ca="1">OFFSET(TblMili[[#This Row],[Archmages]],-1,0) + OFFSET(TblMili[[#This Row],[Train Arch]],-12,0) - TblMili[[#This Row],[Release Arch]]</f>
        <v>0</v>
      </c>
      <c r="L133" s="184"/>
      <c r="M133" s="113">
        <f ca="1">TblProd[[#This Row],[Networth]]</f>
        <v>29507.5</v>
      </c>
      <c r="N133" s="184"/>
      <c r="O133" s="319">
        <f ca="1">TblMili[[#This Row],[Unit 1]]*spec_op+TblMili[[#This Row],[Unit 3]]*(elite1_base_op+dark_elf*TblMili[[#This Row],[Adept]])+TblMili[[#This Row],[Unit 4]]*(elite2_base_op+icekin*TblMili[[#This Row],[Ice Elemental]]+woodie*TblMili[[#This Row],[Druid (op)]]+orc*TblMili[[#This Row],[Orc]])+kobold*TblMili[[#This Row],[Overlords]]</f>
        <v>3850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3946.2499999999995</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3" s="319">
        <f ca="1">TblMili[[#This Row],[Non Draft]]+TblMili[[#This Row],[Draftees]]</f>
        <v>9716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5793</v>
      </c>
      <c r="V133" s="319">
        <f ca="1">TblMili[[#This Row],[Draft]] * (1 + TblMili[[#This Row],[Mods_Def]])</f>
        <v>9716</v>
      </c>
      <c r="W133" s="319">
        <f ca="1">TblConstr[[#This Row],[Land]]</f>
        <v>600</v>
      </c>
      <c r="X133" s="322"/>
      <c r="Y133" s="327">
        <f ca="1">IF(TblMili[[#This Row],[Set]]&lt;&gt;"",TblMili[[#This Row],[Set]],OFFSET(TblMili[[#This Row],[Draftrate]],-1,0))</f>
        <v>0.9</v>
      </c>
      <c r="Z133" s="113">
        <f ca="1">OFFSET(TblMili[[#This Row],[Draftees]],-1,0)+OFFSET(TblPop[[#This Row],[Draft Growth]],-1,0) - SUM(TblMili[[#This Row],[Train Unit 1]:[Train Wiz]]) - TblMili[[#This Row],[Release Draft]] + SUM(TblMili[[#This Row],[Release Unit 1]:[Release Arch]]) -TblExplore[[#This Row],[Draftees (2)]]</f>
        <v>3923</v>
      </c>
      <c r="AA133" s="200"/>
      <c r="AB133" s="234">
        <f ca="1">(TblConstr[[#This Row],[Tot Smi]]+TblConstr[[#This Row],[Dest Smi]])/(TblConstr[[#This Row],[Land]]-TblExplore[[#This Row],[Land Bonus]]*20)</f>
        <v>0.18</v>
      </c>
      <c r="AC133" s="178"/>
      <c r="AD133" s="318">
        <f>TblMili[[#This Row],[Hour]]</f>
        <v>130</v>
      </c>
      <c r="AE133" s="179">
        <f ca="1">TblExplore[[#This Row],[Time]]</f>
        <v>44410.124999999687</v>
      </c>
      <c r="AF133" s="232"/>
      <c r="AG133" s="232"/>
      <c r="AH133" s="232"/>
      <c r="AI133" s="232"/>
      <c r="AJ133" s="232"/>
      <c r="AK133" s="232"/>
      <c r="AL133" s="232"/>
      <c r="AM133" s="184"/>
      <c r="AN133" s="113">
        <f ca="1">TblProd[[#This Row],[Platinum]]</f>
        <v>1883802</v>
      </c>
      <c r="AO133" s="113">
        <f ca="1">INDEX(TblProd[[#Headers],[Lumber]]:TblProd[[#This Row],[Ore]],COUNTA(TblProd[[#Headers],[Lumber]]:TblProd[[#This Row],[Lumber]]),MATCH(Military!$AO$2,TblProd[[#Headers],[Lumber]:[Ore]],0))</f>
        <v>121790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44410.124999999687</v>
      </c>
      <c r="AT133" s="113">
        <f ca="1">TblMili[[#This Row],[Draftees]]</f>
        <v>3923</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176</v>
      </c>
      <c r="BG133" s="113">
        <f ca="1">ROUNDUP(IF(race="Gnome",1,(1-MIN(TblMili[[#This Row],[Smithies]]*smithy_bonus,smithy_bonus_cap) + tech_3_5*TblTech[[#This Row],[3-5]] + tech_5_3*TblTech[[#This Row],[5-3]] + tech_5_5*TblTech[[#This Row],[5-5]]))*spec_op_ore,0)</f>
        <v>16</v>
      </c>
      <c r="BH133" s="113">
        <f ca="1">ROUNDUP((1-MIN(TblMili[[#This Row],[Smithies]]*smithy_bonus,smithy_bonus_cap) + tech_3_5*TblTech[[#This Row],[3-5]] + tech_5_3*TblTech[[#This Row],[5-3]] + tech_5_5*TblTech[[#This Row],[5-5]])*spec_dp_plat,0)</f>
        <v>176</v>
      </c>
      <c r="BI133" s="113">
        <f ca="1">ROUNDUP(IF(race="Gnome",1,(1-MIN(TblMili[[#This Row],[Smithies]]*smithy_bonus,smithy_bonus_cap) + tech_3_5*TblTech[[#This Row],[3-5]] + tech_5_3*TblTech[[#This Row],[5-3]] + tech_5_5*TblTech[[#This Row],[5-5]]))*spec_dp_ore,0)</f>
        <v>10</v>
      </c>
      <c r="BJ133" s="113">
        <f ca="1">ROUNDUP((1-MIN(TblMili[[#This Row],[Smithies]]*smithy_bonus,smithy_bonus_cap) + tech_3_5*TblTech[[#This Row],[3-5]] + tech_5_3*TblTech[[#This Row],[5-3]] + tech_5_5*TblTech[[#This Row],[5-5]])*elite1_plat,0)</f>
        <v>656</v>
      </c>
      <c r="BK133" s="113">
        <f ca="1">ROUNDUP(IF(race="Gnome",1,(1-MIN(TblMili[[#This Row],[Smithies]]*smithy_bonus,smithy_bonus_cap) + tech_3_5*TblTech[[#This Row],[3-5]] + tech_5_3*TblTech[[#This Row],[5-3]] + tech_5_5*TblTech[[#This Row],[5-5]]))*elite1_ore,0)</f>
        <v>48</v>
      </c>
      <c r="BL133" s="113">
        <f ca="1">ROUNDUP((1-MIN(TblMili[[#This Row],[Smithies]]*smithy_bonus,smithy_bonus_cap) + tech_3_5*TblTech[[#This Row],[3-5]] + tech_5_3*TblTech[[#This Row],[5-3]] + tech_5_5*TblTech[[#This Row],[5-5]])*elite2_plat,0)</f>
        <v>800</v>
      </c>
      <c r="BM133" s="113">
        <f ca="1">ROUNDUP(IF(race="Gnome",1,(1-MIN(TblMili[[#This Row],[Smithies]]*smithy_bonus,smithy_bonus_cap) + tech_3_5*TblTech[[#This Row],[3-5]] + tech_5_3*TblTech[[#This Row],[5-3]] + tech_5_5*TblTech[[#This Row],[5-5]]))*elite2_ore,0)</f>
        <v>64</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0.75</v>
      </c>
      <c r="BS133" s="208">
        <f ca="1">TblMili[[#This Row],[WG''s]]</f>
        <v>0</v>
      </c>
      <c r="BT133" s="323">
        <f ca="1">IF(mystic_cap="none",TblMili[[#This Row],[Hill]]/mystic_bonus,MIN(mystic_cap,TblMili[[#This Row],[Hill]]/mystic_bonus))</f>
        <v>3.75</v>
      </c>
      <c r="BU133" s="323">
        <f ca="1">IF(druid_op_cap="none",TblMili[[#This Row],[Hill]]/druid_op_bonus,MIN(druid_op_cap,TblMili[[#This Row],[Hill]]/druid_op_bonus))</f>
        <v>3.75</v>
      </c>
      <c r="BV133" s="323">
        <f ca="1">IF(druid_dp_cap="none",TblMili[[#This Row],[Hill]]/druid_dp_bonus,MIN(druid_dp_cap,TblMili[[#This Row],[Hill]]/druid_dp_bonus))</f>
        <v>3.75</v>
      </c>
      <c r="BW133" s="323">
        <f ca="1">MIN(dryad_cap,TblMili[[#This Row],[Hill]]/dryad_bonus)</f>
        <v>3.75</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250</v>
      </c>
      <c r="CB133" s="124">
        <f ca="1">MIN(TblMili[[#This Row],[Unit 1]],TblMili[[#This Row],[Unit 4]])*2</f>
        <v>0</v>
      </c>
      <c r="CC133" s="323">
        <f ca="1">MIN(frost_mage_cap,TblMili[[#This Row],[Hill]]/frost_mage_bonus)</f>
        <v>3</v>
      </c>
      <c r="CD133" s="59">
        <f ca="1">MIN(ice_elem_cap,TblMili[[#This Row],[Raw (2)]]*ice_elem_bonus)</f>
        <v>5.8333333333333334E-2</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3.95</v>
      </c>
      <c r="CK13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3" s="113">
        <f ca="1">TblMili[[#This Row],[Mystic bonus]]*TblMili[[#This Row],[Unit 3]]+TblMili[[#This Row],[Druid bonus]]*TblMili[[#This Row],[Unit 4]]</f>
        <v>4836.25</v>
      </c>
      <c r="CM133" s="201">
        <f ca="1">MIN(6,TblMili[[#This Row],[Dryad]]+Races!$F$35)*1.8 +  IF(TblMili[[#This Row],[Dryad]]+Races!$F$35&gt;6,(TblMili[[#This Row],[Dryad]]+Races!$F$35-6)*0.2,0) - Races!$I$19</f>
        <v>3.7500000000000009</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5.4</v>
      </c>
      <c r="CT133" s="201">
        <f ca="1">1.8 * MIN(MAX(TblMili[[#This Row],[Ice Elemental]]+Races!$E$71,Races!$F$71),6)  +  0.45 * MIN(MIN(TblMili[[#This Row],[Ice Elemental]]+Races!$E$71,Races!$F$71),6)  +  0.2 * ( MAX(TblMili[[#This Row],[Ice Elemental]]+Races!$E$71-6,0) + MAX(Races!$F$71-6,0) )  -  Races!$I$71</f>
        <v>0.10500000000000043</v>
      </c>
      <c r="CU133" s="113">
        <f ca="1">TblMili[[#This Row],[Frost Mage bonus]]*TblMili[[#This Row],[Unit 3]]+TblMili[[#This Row],[Ice Elemental bonus]]*TblMili[[#This Row],[Unit 4]]</f>
        <v>738.00000000000023</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3" s="184"/>
      <c r="DA133" s="326">
        <f ca="1">(TblMili[[#This Row],[Wizards]]+2*TblMili[[#This Row],[Archmages]])/TblConstr[[#This Row],[Land]]</f>
        <v>5.8333333333333334E-2</v>
      </c>
      <c r="DB133" s="326">
        <f ca="1">TblMili[[#This Row],[Raw (2)]]*(1+race_wizard_strength+IF(TblMili[[#This Row],[Hour]]&gt;72,tech_magical_weaponry_wiz*TblTech[[#This Row],[3-5]],0))</f>
        <v>5.8333333333333334E-2</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5841</v>
      </c>
      <c r="C134" s="203">
        <f ca="1">TblPop[[#This Row],[Military%]]</f>
        <v>0.58626919602529359</v>
      </c>
      <c r="D134" s="184"/>
      <c r="E134" s="49">
        <f ca="1">OFFSET(TblMili[[#This Row],[Unit 1]],-1,0) + OFFSET(TblMili[[#This Row],[Train Unit 1]],-9,0) - TblMili[[#This Row],[Release Unit 1]]</f>
        <v>0</v>
      </c>
      <c r="F134" s="49">
        <f ca="1">OFFSET(TblMili[[#This Row],[Unit 2]],-1,0) + OFFSET(TblMili[[#This Row],[Train Unit 2]],-9,0)-TblMili[[#This Row],[Release Unit 2]]</f>
        <v>1081</v>
      </c>
      <c r="G134" s="49">
        <f ca="1">OFFSET(TblMili[[#This Row],[Unit 3]],-1,0) + OFFSET(TblMili[[#This Row],[Train Unit 3]],-12,0)-TblMili[[#This Row],[Release Unit 3]]</f>
        <v>125</v>
      </c>
      <c r="H134" s="49">
        <f ca="1">OFFSET(TblMili[[#This Row],[Unit 4]],-1,0) + OFFSET(TblMili[[#This Row],[Train Unit 4]],-12,0)-TblMili[[#This Row],[Release Unit 4]]</f>
        <v>600</v>
      </c>
      <c r="I134" s="49">
        <f ca="1">OFFSET(TblMili[[#This Row],[Spies]],-1,0) + OFFSET(TblMili[[#This Row],[Train Spies]],-12,0) - TblMili[[#This Row],[Release Spies]]</f>
        <v>35</v>
      </c>
      <c r="J134" s="49">
        <f ca="1">OFFSET(TblMili[[#This Row],[Wizards]],-1,0) + OFFSET(TblMili[[#This Row],[Train Wiz]],-12,0) - TblMili[[#This Row],[Release Wizards]]-TblMili[[#This Row],[Train Arch]]</f>
        <v>35</v>
      </c>
      <c r="K134" s="49">
        <f ca="1">OFFSET(TblMili[[#This Row],[Archmages]],-1,0) + OFFSET(TblMili[[#This Row],[Train Arch]],-12,0) - TblMili[[#This Row],[Release Arch]]</f>
        <v>0</v>
      </c>
      <c r="L134" s="184"/>
      <c r="M134" s="113">
        <f ca="1">TblProd[[#This Row],[Networth]]</f>
        <v>29507.5</v>
      </c>
      <c r="N134" s="184"/>
      <c r="O134" s="319">
        <f ca="1">TblMili[[#This Row],[Unit 1]]*spec_op+TblMili[[#This Row],[Unit 3]]*(elite1_base_op+dark_elf*TblMili[[#This Row],[Adept]])+TblMili[[#This Row],[Unit 4]]*(elite2_base_op+icekin*TblMili[[#This Row],[Ice Elemental]]+woodie*TblMili[[#This Row],[Druid (op)]]+orc*TblMili[[#This Row],[Orc]])+kobold*TblMili[[#This Row],[Overlords]]</f>
        <v>3850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3946.2499999999995</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4" s="319">
        <f ca="1">TblMili[[#This Row],[Non Draft]]+TblMili[[#This Row],[Draftees]]</f>
        <v>9758</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5793</v>
      </c>
      <c r="V134" s="319">
        <f ca="1">TblMili[[#This Row],[Draft]] * (1 + TblMili[[#This Row],[Mods_Def]])</f>
        <v>9758</v>
      </c>
      <c r="W134" s="319">
        <f ca="1">TblConstr[[#This Row],[Land]]</f>
        <v>600</v>
      </c>
      <c r="X134" s="322"/>
      <c r="Y134" s="327">
        <f ca="1">IF(TblMili[[#This Row],[Set]]&lt;&gt;"",TblMili[[#This Row],[Set]],OFFSET(TblMili[[#This Row],[Draftrate]],-1,0))</f>
        <v>0.9</v>
      </c>
      <c r="Z134" s="113">
        <f ca="1">OFFSET(TblMili[[#This Row],[Draftees]],-1,0)+OFFSET(TblPop[[#This Row],[Draft Growth]],-1,0) - SUM(TblMili[[#This Row],[Train Unit 1]:[Train Wiz]]) - TblMili[[#This Row],[Release Draft]] + SUM(TblMili[[#This Row],[Release Unit 1]:[Release Arch]]) -TblExplore[[#This Row],[Draftees (2)]]</f>
        <v>3965</v>
      </c>
      <c r="AA134" s="200"/>
      <c r="AB134" s="234">
        <f ca="1">(TblConstr[[#This Row],[Tot Smi]]+TblConstr[[#This Row],[Dest Smi]])/(TblConstr[[#This Row],[Land]]-TblExplore[[#This Row],[Land Bonus]]*20)</f>
        <v>0.18</v>
      </c>
      <c r="AC134" s="178"/>
      <c r="AD134" s="318">
        <f>TblMili[[#This Row],[Hour]]</f>
        <v>131</v>
      </c>
      <c r="AE134" s="179">
        <f ca="1">TblExplore[[#This Row],[Time]]</f>
        <v>44410.166666666351</v>
      </c>
      <c r="AF134" s="232"/>
      <c r="AG134" s="232"/>
      <c r="AH134" s="232"/>
      <c r="AI134" s="232"/>
      <c r="AJ134" s="232"/>
      <c r="AK134" s="232"/>
      <c r="AL134" s="232"/>
      <c r="AM134" s="184"/>
      <c r="AN134" s="113">
        <f ca="1">TblProd[[#This Row],[Platinum]]</f>
        <v>1906924</v>
      </c>
      <c r="AO134" s="113">
        <f ca="1">INDEX(TblProd[[#Headers],[Lumber]]:TblProd[[#This Row],[Ore]],COUNTA(TblProd[[#Headers],[Lumber]]:TblProd[[#This Row],[Lumber]]),MATCH(Military!$AO$2,TblProd[[#Headers],[Lumber]:[Ore]],0))</f>
        <v>123590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44410.166666666351</v>
      </c>
      <c r="AT134" s="113">
        <f ca="1">TblMili[[#This Row],[Draftees]]</f>
        <v>3965</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176</v>
      </c>
      <c r="BG134" s="113">
        <f ca="1">ROUNDUP(IF(race="Gnome",1,(1-MIN(TblMili[[#This Row],[Smithies]]*smithy_bonus,smithy_bonus_cap) + tech_3_5*TblTech[[#This Row],[3-5]] + tech_5_3*TblTech[[#This Row],[5-3]] + tech_5_5*TblTech[[#This Row],[5-5]]))*spec_op_ore,0)</f>
        <v>16</v>
      </c>
      <c r="BH134" s="113">
        <f ca="1">ROUNDUP((1-MIN(TblMili[[#This Row],[Smithies]]*smithy_bonus,smithy_bonus_cap) + tech_3_5*TblTech[[#This Row],[3-5]] + tech_5_3*TblTech[[#This Row],[5-3]] + tech_5_5*TblTech[[#This Row],[5-5]])*spec_dp_plat,0)</f>
        <v>176</v>
      </c>
      <c r="BI134" s="113">
        <f ca="1">ROUNDUP(IF(race="Gnome",1,(1-MIN(TblMili[[#This Row],[Smithies]]*smithy_bonus,smithy_bonus_cap) + tech_3_5*TblTech[[#This Row],[3-5]] + tech_5_3*TblTech[[#This Row],[5-3]] + tech_5_5*TblTech[[#This Row],[5-5]]))*spec_dp_ore,0)</f>
        <v>10</v>
      </c>
      <c r="BJ134" s="113">
        <f ca="1">ROUNDUP((1-MIN(TblMili[[#This Row],[Smithies]]*smithy_bonus,smithy_bonus_cap) + tech_3_5*TblTech[[#This Row],[3-5]] + tech_5_3*TblTech[[#This Row],[5-3]] + tech_5_5*TblTech[[#This Row],[5-5]])*elite1_plat,0)</f>
        <v>656</v>
      </c>
      <c r="BK134" s="113">
        <f ca="1">ROUNDUP(IF(race="Gnome",1,(1-MIN(TblMili[[#This Row],[Smithies]]*smithy_bonus,smithy_bonus_cap) + tech_3_5*TblTech[[#This Row],[3-5]] + tech_5_3*TblTech[[#This Row],[5-3]] + tech_5_5*TblTech[[#This Row],[5-5]]))*elite1_ore,0)</f>
        <v>48</v>
      </c>
      <c r="BL134" s="113">
        <f ca="1">ROUNDUP((1-MIN(TblMili[[#This Row],[Smithies]]*smithy_bonus,smithy_bonus_cap) + tech_3_5*TblTech[[#This Row],[3-5]] + tech_5_3*TblTech[[#This Row],[5-3]] + tech_5_5*TblTech[[#This Row],[5-5]])*elite2_plat,0)</f>
        <v>800</v>
      </c>
      <c r="BM134" s="113">
        <f ca="1">ROUNDUP(IF(race="Gnome",1,(1-MIN(TblMili[[#This Row],[Smithies]]*smithy_bonus,smithy_bonus_cap) + tech_3_5*TblTech[[#This Row],[3-5]] + tech_5_3*TblTech[[#This Row],[5-3]] + tech_5_5*TblTech[[#This Row],[5-5]]))*elite2_ore,0)</f>
        <v>64</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0.75</v>
      </c>
      <c r="BS134" s="208">
        <f ca="1">TblMili[[#This Row],[WG''s]]</f>
        <v>0</v>
      </c>
      <c r="BT134" s="323">
        <f ca="1">IF(mystic_cap="none",TblMili[[#This Row],[Hill]]/mystic_bonus,MIN(mystic_cap,TblMili[[#This Row],[Hill]]/mystic_bonus))</f>
        <v>3.75</v>
      </c>
      <c r="BU134" s="323">
        <f ca="1">IF(druid_op_cap="none",TblMili[[#This Row],[Hill]]/druid_op_bonus,MIN(druid_op_cap,TblMili[[#This Row],[Hill]]/druid_op_bonus))</f>
        <v>3.75</v>
      </c>
      <c r="BV134" s="323">
        <f ca="1">IF(druid_dp_cap="none",TblMili[[#This Row],[Hill]]/druid_dp_bonus,MIN(druid_dp_cap,TblMili[[#This Row],[Hill]]/druid_dp_bonus))</f>
        <v>3.75</v>
      </c>
      <c r="BW134" s="323">
        <f ca="1">MIN(dryad_cap,TblMili[[#This Row],[Hill]]/dryad_bonus)</f>
        <v>3.75</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250</v>
      </c>
      <c r="CB134" s="124">
        <f ca="1">MIN(TblMili[[#This Row],[Unit 1]],TblMili[[#This Row],[Unit 4]])*2</f>
        <v>0</v>
      </c>
      <c r="CC134" s="323">
        <f ca="1">MIN(frost_mage_cap,TblMili[[#This Row],[Hill]]/frost_mage_bonus)</f>
        <v>3</v>
      </c>
      <c r="CD134" s="59">
        <f ca="1">MIN(ice_elem_cap,TblMili[[#This Row],[Raw (2)]]*ice_elem_bonus)</f>
        <v>5.8333333333333334E-2</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3.95</v>
      </c>
      <c r="CK13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4" s="113">
        <f ca="1">TblMili[[#This Row],[Mystic bonus]]*TblMili[[#This Row],[Unit 3]]+TblMili[[#This Row],[Druid bonus]]*TblMili[[#This Row],[Unit 4]]</f>
        <v>4836.25</v>
      </c>
      <c r="CM134" s="201">
        <f ca="1">MIN(6,TblMili[[#This Row],[Dryad]]+Races!$F$35)*1.8 +  IF(TblMili[[#This Row],[Dryad]]+Races!$F$35&gt;6,(TblMili[[#This Row],[Dryad]]+Races!$F$35-6)*0.2,0) - Races!$I$19</f>
        <v>3.7500000000000009</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5.4</v>
      </c>
      <c r="CT134" s="201">
        <f ca="1">1.8 * MIN(MAX(TblMili[[#This Row],[Ice Elemental]]+Races!$E$71,Races!$F$71),6)  +  0.45 * MIN(MIN(TblMili[[#This Row],[Ice Elemental]]+Races!$E$71,Races!$F$71),6)  +  0.2 * ( MAX(TblMili[[#This Row],[Ice Elemental]]+Races!$E$71-6,0) + MAX(Races!$F$71-6,0) )  -  Races!$I$71</f>
        <v>0.10500000000000043</v>
      </c>
      <c r="CU134" s="113">
        <f ca="1">TblMili[[#This Row],[Frost Mage bonus]]*TblMili[[#This Row],[Unit 3]]+TblMili[[#This Row],[Ice Elemental bonus]]*TblMili[[#This Row],[Unit 4]]</f>
        <v>738.00000000000023</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4" s="184"/>
      <c r="DA134" s="326">
        <f ca="1">(TblMili[[#This Row],[Wizards]]+2*TblMili[[#This Row],[Archmages]])/TblConstr[[#This Row],[Land]]</f>
        <v>5.8333333333333334E-2</v>
      </c>
      <c r="DB134" s="326">
        <f ca="1">TblMili[[#This Row],[Raw (2)]]*(1+race_wizard_strength+IF(TblMili[[#This Row],[Hour]]&gt;72,tech_magical_weaponry_wiz*TblTech[[#This Row],[3-5]],0))</f>
        <v>5.8333333333333334E-2</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5882</v>
      </c>
      <c r="C135" s="203">
        <f ca="1">TblPop[[#This Row],[Military%]]</f>
        <v>0.59038442236274213</v>
      </c>
      <c r="D135" s="184"/>
      <c r="E135" s="49">
        <f ca="1">OFFSET(TblMili[[#This Row],[Unit 1]],-1,0) + OFFSET(TblMili[[#This Row],[Train Unit 1]],-9,0) - TblMili[[#This Row],[Release Unit 1]]</f>
        <v>0</v>
      </c>
      <c r="F135" s="49">
        <f ca="1">OFFSET(TblMili[[#This Row],[Unit 2]],-1,0) + OFFSET(TblMili[[#This Row],[Train Unit 2]],-9,0)-TblMili[[#This Row],[Release Unit 2]]</f>
        <v>1081</v>
      </c>
      <c r="G135" s="49">
        <f ca="1">OFFSET(TblMili[[#This Row],[Unit 3]],-1,0) + OFFSET(TblMili[[#This Row],[Train Unit 3]],-12,0)-TblMili[[#This Row],[Release Unit 3]]</f>
        <v>125</v>
      </c>
      <c r="H135" s="49">
        <f ca="1">OFFSET(TblMili[[#This Row],[Unit 4]],-1,0) + OFFSET(TblMili[[#This Row],[Train Unit 4]],-12,0)-TblMili[[#This Row],[Release Unit 4]]</f>
        <v>600</v>
      </c>
      <c r="I135" s="49">
        <f ca="1">OFFSET(TblMili[[#This Row],[Spies]],-1,0) + OFFSET(TblMili[[#This Row],[Train Spies]],-12,0) - TblMili[[#This Row],[Release Spies]]</f>
        <v>35</v>
      </c>
      <c r="J135" s="49">
        <f ca="1">OFFSET(TblMili[[#This Row],[Wizards]],-1,0) + OFFSET(TblMili[[#This Row],[Train Wiz]],-12,0) - TblMili[[#This Row],[Release Wizards]]-TblMili[[#This Row],[Train Arch]]</f>
        <v>35</v>
      </c>
      <c r="K135" s="49">
        <f ca="1">OFFSET(TblMili[[#This Row],[Archmages]],-1,0) + OFFSET(TblMili[[#This Row],[Train Arch]],-12,0) - TblMili[[#This Row],[Release Arch]]</f>
        <v>0</v>
      </c>
      <c r="L135" s="184"/>
      <c r="M135" s="113">
        <f ca="1">TblProd[[#This Row],[Networth]]</f>
        <v>29507.5</v>
      </c>
      <c r="N135" s="184"/>
      <c r="O135" s="319">
        <f ca="1">TblMili[[#This Row],[Unit 1]]*spec_op+TblMili[[#This Row],[Unit 3]]*(elite1_base_op+dark_elf*TblMili[[#This Row],[Adept]])+TblMili[[#This Row],[Unit 4]]*(elite2_base_op+icekin*TblMili[[#This Row],[Ice Elemental]]+woodie*TblMili[[#This Row],[Druid (op)]]+orc*TblMili[[#This Row],[Orc]])+kobold*TblMili[[#This Row],[Overlords]]</f>
        <v>3850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3946.2499999999995</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5" s="319">
        <f ca="1">TblMili[[#This Row],[Non Draft]]+TblMili[[#This Row],[Draftees]]</f>
        <v>9799</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5793</v>
      </c>
      <c r="V135" s="319">
        <f ca="1">TblMili[[#This Row],[Draft]] * (1 + TblMili[[#This Row],[Mods_Def]])</f>
        <v>9799</v>
      </c>
      <c r="W135" s="319">
        <f ca="1">TblConstr[[#This Row],[Land]]</f>
        <v>600</v>
      </c>
      <c r="X135" s="322"/>
      <c r="Y135" s="327">
        <f ca="1">IF(TblMili[[#This Row],[Set]]&lt;&gt;"",TblMili[[#This Row],[Set]],OFFSET(TblMili[[#This Row],[Draftrate]],-1,0))</f>
        <v>0.9</v>
      </c>
      <c r="Z135" s="113">
        <f ca="1">OFFSET(TblMili[[#This Row],[Draftees]],-1,0)+OFFSET(TblPop[[#This Row],[Draft Growth]],-1,0) - SUM(TblMili[[#This Row],[Train Unit 1]:[Train Wiz]]) - TblMili[[#This Row],[Release Draft]] + SUM(TblMili[[#This Row],[Release Unit 1]:[Release Arch]]) -TblExplore[[#This Row],[Draftees (2)]]</f>
        <v>4006</v>
      </c>
      <c r="AA135" s="200"/>
      <c r="AB135" s="234">
        <f ca="1">(TblConstr[[#This Row],[Tot Smi]]+TblConstr[[#This Row],[Dest Smi]])/(TblConstr[[#This Row],[Land]]-TblExplore[[#This Row],[Land Bonus]]*20)</f>
        <v>0.18</v>
      </c>
      <c r="AC135" s="178"/>
      <c r="AD135" s="318">
        <f>TblMili[[#This Row],[Hour]]</f>
        <v>132</v>
      </c>
      <c r="AE135" s="179">
        <f ca="1">TblExplore[[#This Row],[Time]]</f>
        <v>44410.208333333016</v>
      </c>
      <c r="AF135" s="232"/>
      <c r="AG135" s="232"/>
      <c r="AH135" s="232"/>
      <c r="AI135" s="232"/>
      <c r="AJ135" s="232"/>
      <c r="AK135" s="232"/>
      <c r="AL135" s="232"/>
      <c r="AM135" s="184"/>
      <c r="AN135" s="113">
        <f ca="1">TblProd[[#This Row],[Platinum]]</f>
        <v>1929933</v>
      </c>
      <c r="AO135" s="113">
        <f ca="1">INDEX(TblProd[[#Headers],[Lumber]]:TblProd[[#This Row],[Ore]],COUNTA(TblProd[[#Headers],[Lumber]]:TblProd[[#This Row],[Lumber]]),MATCH(Military!$AO$2,TblProd[[#Headers],[Lumber]:[Ore]],0))</f>
        <v>125390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44410.208333333016</v>
      </c>
      <c r="AT135" s="113">
        <f ca="1">TblMili[[#This Row],[Draftees]]</f>
        <v>4006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176</v>
      </c>
      <c r="BG135" s="113">
        <f ca="1">ROUNDUP(IF(race="Gnome",1,(1-MIN(TblMili[[#This Row],[Smithies]]*smithy_bonus,smithy_bonus_cap) + tech_3_5*TblTech[[#This Row],[3-5]] + tech_5_3*TblTech[[#This Row],[5-3]] + tech_5_5*TblTech[[#This Row],[5-5]]))*spec_op_ore,0)</f>
        <v>16</v>
      </c>
      <c r="BH135" s="113">
        <f ca="1">ROUNDUP((1-MIN(TblMili[[#This Row],[Smithies]]*smithy_bonus,smithy_bonus_cap) + tech_3_5*TblTech[[#This Row],[3-5]] + tech_5_3*TblTech[[#This Row],[5-3]] + tech_5_5*TblTech[[#This Row],[5-5]])*spec_dp_plat,0)</f>
        <v>176</v>
      </c>
      <c r="BI135" s="113">
        <f ca="1">ROUNDUP(IF(race="Gnome",1,(1-MIN(TblMili[[#This Row],[Smithies]]*smithy_bonus,smithy_bonus_cap) + tech_3_5*TblTech[[#This Row],[3-5]] + tech_5_3*TblTech[[#This Row],[5-3]] + tech_5_5*TblTech[[#This Row],[5-5]]))*spec_dp_ore,0)</f>
        <v>10</v>
      </c>
      <c r="BJ135" s="113">
        <f ca="1">ROUNDUP((1-MIN(TblMili[[#This Row],[Smithies]]*smithy_bonus,smithy_bonus_cap) + tech_3_5*TblTech[[#This Row],[3-5]] + tech_5_3*TblTech[[#This Row],[5-3]] + tech_5_5*TblTech[[#This Row],[5-5]])*elite1_plat,0)</f>
        <v>656</v>
      </c>
      <c r="BK135" s="113">
        <f ca="1">ROUNDUP(IF(race="Gnome",1,(1-MIN(TblMili[[#This Row],[Smithies]]*smithy_bonus,smithy_bonus_cap) + tech_3_5*TblTech[[#This Row],[3-5]] + tech_5_3*TblTech[[#This Row],[5-3]] + tech_5_5*TblTech[[#This Row],[5-5]]))*elite1_ore,0)</f>
        <v>48</v>
      </c>
      <c r="BL135" s="113">
        <f ca="1">ROUNDUP((1-MIN(TblMili[[#This Row],[Smithies]]*smithy_bonus,smithy_bonus_cap) + tech_3_5*TblTech[[#This Row],[3-5]] + tech_5_3*TblTech[[#This Row],[5-3]] + tech_5_5*TblTech[[#This Row],[5-5]])*elite2_plat,0)</f>
        <v>800</v>
      </c>
      <c r="BM135" s="113">
        <f ca="1">ROUNDUP(IF(race="Gnome",1,(1-MIN(TblMili[[#This Row],[Smithies]]*smithy_bonus,smithy_bonus_cap) + tech_3_5*TblTech[[#This Row],[3-5]] + tech_5_3*TblTech[[#This Row],[5-3]] + tech_5_5*TblTech[[#This Row],[5-5]]))*elite2_ore,0)</f>
        <v>64</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0.75</v>
      </c>
      <c r="BS135" s="208">
        <f ca="1">TblMili[[#This Row],[WG''s]]</f>
        <v>0</v>
      </c>
      <c r="BT135" s="323">
        <f ca="1">IF(mystic_cap="none",TblMili[[#This Row],[Hill]]/mystic_bonus,MIN(mystic_cap,TblMili[[#This Row],[Hill]]/mystic_bonus))</f>
        <v>3.75</v>
      </c>
      <c r="BU135" s="323">
        <f ca="1">IF(druid_op_cap="none",TblMili[[#This Row],[Hill]]/druid_op_bonus,MIN(druid_op_cap,TblMili[[#This Row],[Hill]]/druid_op_bonus))</f>
        <v>3.75</v>
      </c>
      <c r="BV135" s="323">
        <f ca="1">IF(druid_dp_cap="none",TblMili[[#This Row],[Hill]]/druid_dp_bonus,MIN(druid_dp_cap,TblMili[[#This Row],[Hill]]/druid_dp_bonus))</f>
        <v>3.75</v>
      </c>
      <c r="BW135" s="323">
        <f ca="1">MIN(dryad_cap,TblMili[[#This Row],[Hill]]/dryad_bonus)</f>
        <v>3.75</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250</v>
      </c>
      <c r="CB135" s="124">
        <f ca="1">MIN(TblMili[[#This Row],[Unit 1]],TblMili[[#This Row],[Unit 4]])*2</f>
        <v>0</v>
      </c>
      <c r="CC135" s="323">
        <f ca="1">MIN(frost_mage_cap,TblMili[[#This Row],[Hill]]/frost_mage_bonus)</f>
        <v>3</v>
      </c>
      <c r="CD135" s="59">
        <f ca="1">MIN(ice_elem_cap,TblMili[[#This Row],[Raw (2)]]*ice_elem_bonus)</f>
        <v>5.8333333333333334E-2</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3.95</v>
      </c>
      <c r="CK13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5" s="113">
        <f ca="1">TblMili[[#This Row],[Mystic bonus]]*TblMili[[#This Row],[Unit 3]]+TblMili[[#This Row],[Druid bonus]]*TblMili[[#This Row],[Unit 4]]</f>
        <v>4836.25</v>
      </c>
      <c r="CM135" s="201">
        <f ca="1">MIN(6,TblMili[[#This Row],[Dryad]]+Races!$F$35)*1.8 +  IF(TblMili[[#This Row],[Dryad]]+Races!$F$35&gt;6,(TblMili[[#This Row],[Dryad]]+Races!$F$35-6)*0.2,0) - Races!$I$19</f>
        <v>3.7500000000000009</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5.4</v>
      </c>
      <c r="CT135" s="201">
        <f ca="1">1.8 * MIN(MAX(TblMili[[#This Row],[Ice Elemental]]+Races!$E$71,Races!$F$71),6)  +  0.45 * MIN(MIN(TblMili[[#This Row],[Ice Elemental]]+Races!$E$71,Races!$F$71),6)  +  0.2 * ( MAX(TblMili[[#This Row],[Ice Elemental]]+Races!$E$71-6,0) + MAX(Races!$F$71-6,0) )  -  Races!$I$71</f>
        <v>0.10500000000000043</v>
      </c>
      <c r="CU135" s="113">
        <f ca="1">TblMili[[#This Row],[Frost Mage bonus]]*TblMili[[#This Row],[Unit 3]]+TblMili[[#This Row],[Ice Elemental bonus]]*TblMili[[#This Row],[Unit 4]]</f>
        <v>738.00000000000023</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5" s="184"/>
      <c r="DA135" s="326">
        <f ca="1">(TblMili[[#This Row],[Wizards]]+2*TblMili[[#This Row],[Archmages]])/TblConstr[[#This Row],[Land]]</f>
        <v>5.8333333333333334E-2</v>
      </c>
      <c r="DB135" s="326">
        <f ca="1">TblMili[[#This Row],[Raw (2)]]*(1+race_wizard_strength+IF(TblMili[[#This Row],[Hour]]&gt;72,tech_magical_weaponry_wiz*TblTech[[#This Row],[3-5]],0))</f>
        <v>5.8333333333333334E-2</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5923</v>
      </c>
      <c r="C136" s="203">
        <f ca="1">TblPop[[#This Row],[Military%]]</f>
        <v>0.59449964870019067</v>
      </c>
      <c r="D136" s="184"/>
      <c r="E136" s="49">
        <f ca="1">OFFSET(TblMili[[#This Row],[Unit 1]],-1,0) + OFFSET(TblMili[[#This Row],[Train Unit 1]],-9,0) - TblMili[[#This Row],[Release Unit 1]]</f>
        <v>0</v>
      </c>
      <c r="F136" s="49">
        <f ca="1">OFFSET(TblMili[[#This Row],[Unit 2]],-1,0) + OFFSET(TblMili[[#This Row],[Train Unit 2]],-9,0)-TblMili[[#This Row],[Release Unit 2]]</f>
        <v>1081</v>
      </c>
      <c r="G136" s="49">
        <f ca="1">OFFSET(TblMili[[#This Row],[Unit 3]],-1,0) + OFFSET(TblMili[[#This Row],[Train Unit 3]],-12,0)-TblMili[[#This Row],[Release Unit 3]]</f>
        <v>125</v>
      </c>
      <c r="H136" s="49">
        <f ca="1">OFFSET(TblMili[[#This Row],[Unit 4]],-1,0) + OFFSET(TblMili[[#This Row],[Train Unit 4]],-12,0)-TblMili[[#This Row],[Release Unit 4]]</f>
        <v>600</v>
      </c>
      <c r="I136" s="49">
        <f ca="1">OFFSET(TblMili[[#This Row],[Spies]],-1,0) + OFFSET(TblMili[[#This Row],[Train Spies]],-12,0) - TblMili[[#This Row],[Release Spies]]</f>
        <v>35</v>
      </c>
      <c r="J136" s="49">
        <f ca="1">OFFSET(TblMili[[#This Row],[Wizards]],-1,0) + OFFSET(TblMili[[#This Row],[Train Wiz]],-12,0) - TblMili[[#This Row],[Release Wizards]]-TblMili[[#This Row],[Train Arch]]</f>
        <v>35</v>
      </c>
      <c r="K136" s="49">
        <f ca="1">OFFSET(TblMili[[#This Row],[Archmages]],-1,0) + OFFSET(TblMili[[#This Row],[Train Arch]],-12,0) - TblMili[[#This Row],[Release Arch]]</f>
        <v>0</v>
      </c>
      <c r="L136" s="184"/>
      <c r="M136" s="113">
        <f ca="1">TblProd[[#This Row],[Networth]]</f>
        <v>29507.5</v>
      </c>
      <c r="N136" s="184"/>
      <c r="O136" s="319">
        <f ca="1">TblMili[[#This Row],[Unit 1]]*spec_op+TblMili[[#This Row],[Unit 3]]*(elite1_base_op+dark_elf*TblMili[[#This Row],[Adept]])+TblMili[[#This Row],[Unit 4]]*(elite2_base_op+icekin*TblMili[[#This Row],[Ice Elemental]]+woodie*TblMili[[#This Row],[Druid (op)]]+orc*TblMili[[#This Row],[Orc]])+kobold*TblMili[[#This Row],[Overlords]]</f>
        <v>3850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3946.2499999999995</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6" s="319">
        <f ca="1">TblMili[[#This Row],[Non Draft]]+TblMili[[#This Row],[Draftees]]</f>
        <v>9840</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5793</v>
      </c>
      <c r="V136" s="319">
        <f ca="1">TblMili[[#This Row],[Draft]] * (1 + TblMili[[#This Row],[Mods_Def]])</f>
        <v>9840</v>
      </c>
      <c r="W136" s="319">
        <f ca="1">TblConstr[[#This Row],[Land]]</f>
        <v>600</v>
      </c>
      <c r="X136" s="322"/>
      <c r="Y136" s="327">
        <f ca="1">IF(TblMili[[#This Row],[Set]]&lt;&gt;"",TblMili[[#This Row],[Set]],OFFSET(TblMili[[#This Row],[Draftrate]],-1,0))</f>
        <v>0.9</v>
      </c>
      <c r="Z136" s="113">
        <f ca="1">OFFSET(TblMili[[#This Row],[Draftees]],-1,0)+OFFSET(TblPop[[#This Row],[Draft Growth]],-1,0) - SUM(TblMili[[#This Row],[Train Unit 1]:[Train Wiz]]) - TblMili[[#This Row],[Release Draft]] + SUM(TblMili[[#This Row],[Release Unit 1]:[Release Arch]]) -TblExplore[[#This Row],[Draftees (2)]]</f>
        <v>4047</v>
      </c>
      <c r="AA136" s="200"/>
      <c r="AB136" s="234">
        <f ca="1">(TblConstr[[#This Row],[Tot Smi]]+TblConstr[[#This Row],[Dest Smi]])/(TblConstr[[#This Row],[Land]]-TblExplore[[#This Row],[Land Bonus]]*20)</f>
        <v>0.18</v>
      </c>
      <c r="AC136" s="318"/>
      <c r="AD136" s="318">
        <f>TblMili[[#This Row],[Hour]]</f>
        <v>133</v>
      </c>
      <c r="AE136" s="179">
        <f ca="1">TblExplore[[#This Row],[Time]]</f>
        <v>44410.24999999968</v>
      </c>
      <c r="AF136" s="232"/>
      <c r="AG136" s="204"/>
      <c r="AH136" s="232"/>
      <c r="AI136" s="204"/>
      <c r="AJ136" s="204"/>
      <c r="AK136" s="204"/>
      <c r="AL136" s="232"/>
      <c r="AM136" s="184"/>
      <c r="AN136" s="113">
        <f ca="1">TblProd[[#This Row],[Platinum]]</f>
        <v>1952831</v>
      </c>
      <c r="AO136" s="113">
        <f ca="1">INDEX(TblProd[[#Headers],[Lumber]]:TblProd[[#This Row],[Ore]],COUNTA(TblProd[[#Headers],[Lumber]]:TblProd[[#This Row],[Lumber]]),MATCH(Military!$AO$2,TblProd[[#Headers],[Lumber]:[Ore]],0))</f>
        <v>127190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44410.24999999968</v>
      </c>
      <c r="AT136" s="113">
        <f ca="1">TblMili[[#This Row],[Draftees]]</f>
        <v>4047</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176</v>
      </c>
      <c r="BG136" s="113">
        <f ca="1">ROUNDUP(IF(race="Gnome",1,(1-MIN(TblMili[[#This Row],[Smithies]]*smithy_bonus,smithy_bonus_cap) + tech_3_5*TblTech[[#This Row],[3-5]] + tech_5_3*TblTech[[#This Row],[5-3]] + tech_5_5*TblTech[[#This Row],[5-5]]))*spec_op_ore,0)</f>
        <v>16</v>
      </c>
      <c r="BH136" s="113">
        <f ca="1">ROUNDUP((1-MIN(TblMili[[#This Row],[Smithies]]*smithy_bonus,smithy_bonus_cap) + tech_3_5*TblTech[[#This Row],[3-5]] + tech_5_3*TblTech[[#This Row],[5-3]] + tech_5_5*TblTech[[#This Row],[5-5]])*spec_dp_plat,0)</f>
        <v>176</v>
      </c>
      <c r="BI136" s="113">
        <f ca="1">ROUNDUP(IF(race="Gnome",1,(1-MIN(TblMili[[#This Row],[Smithies]]*smithy_bonus,smithy_bonus_cap) + tech_3_5*TblTech[[#This Row],[3-5]] + tech_5_3*TblTech[[#This Row],[5-3]] + tech_5_5*TblTech[[#This Row],[5-5]]))*spec_dp_ore,0)</f>
        <v>10</v>
      </c>
      <c r="BJ136" s="113">
        <f ca="1">ROUNDUP((1-MIN(TblMili[[#This Row],[Smithies]]*smithy_bonus,smithy_bonus_cap) + tech_3_5*TblTech[[#This Row],[3-5]] + tech_5_3*TblTech[[#This Row],[5-3]] + tech_5_5*TblTech[[#This Row],[5-5]])*elite1_plat,0)</f>
        <v>656</v>
      </c>
      <c r="BK136" s="113">
        <f ca="1">ROUNDUP(IF(race="Gnome",1,(1-MIN(TblMili[[#This Row],[Smithies]]*smithy_bonus,smithy_bonus_cap) + tech_3_5*TblTech[[#This Row],[3-5]] + tech_5_3*TblTech[[#This Row],[5-3]] + tech_5_5*TblTech[[#This Row],[5-5]]))*elite1_ore,0)</f>
        <v>48</v>
      </c>
      <c r="BL136" s="113">
        <f ca="1">ROUNDUP((1-MIN(TblMili[[#This Row],[Smithies]]*smithy_bonus,smithy_bonus_cap) + tech_3_5*TblTech[[#This Row],[3-5]] + tech_5_3*TblTech[[#This Row],[5-3]] + tech_5_5*TblTech[[#This Row],[5-5]])*elite2_plat,0)</f>
        <v>800</v>
      </c>
      <c r="BM136" s="113">
        <f ca="1">ROUNDUP(IF(race="Gnome",1,(1-MIN(TblMili[[#This Row],[Smithies]]*smithy_bonus,smithy_bonus_cap) + tech_3_5*TblTech[[#This Row],[3-5]] + tech_5_3*TblTech[[#This Row],[5-3]] + tech_5_5*TblTech[[#This Row],[5-5]]))*elite2_ore,0)</f>
        <v>64</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0.75</v>
      </c>
      <c r="BS136" s="208">
        <f ca="1">TblMili[[#This Row],[WG''s]]</f>
        <v>0</v>
      </c>
      <c r="BT136" s="323">
        <f ca="1">IF(mystic_cap="none",TblMili[[#This Row],[Hill]]/mystic_bonus,MIN(mystic_cap,TblMili[[#This Row],[Hill]]/mystic_bonus))</f>
        <v>3.75</v>
      </c>
      <c r="BU136" s="323">
        <f ca="1">IF(druid_op_cap="none",TblMili[[#This Row],[Hill]]/druid_op_bonus,MIN(druid_op_cap,TblMili[[#This Row],[Hill]]/druid_op_bonus))</f>
        <v>3.75</v>
      </c>
      <c r="BV136" s="323">
        <f ca="1">IF(druid_dp_cap="none",TblMili[[#This Row],[Hill]]/druid_dp_bonus,MIN(druid_dp_cap,TblMili[[#This Row],[Hill]]/druid_dp_bonus))</f>
        <v>3.75</v>
      </c>
      <c r="BW136" s="323">
        <f ca="1">MIN(dryad_cap,TblMili[[#This Row],[Hill]]/dryad_bonus)</f>
        <v>3.75</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250</v>
      </c>
      <c r="CB136" s="124">
        <f ca="1">MIN(TblMili[[#This Row],[Unit 1]],TblMili[[#This Row],[Unit 4]])*2</f>
        <v>0</v>
      </c>
      <c r="CC136" s="323">
        <f ca="1">MIN(frost_mage_cap,TblMili[[#This Row],[Hill]]/frost_mage_bonus)</f>
        <v>3</v>
      </c>
      <c r="CD136" s="59">
        <f ca="1">MIN(ice_elem_cap,TblMili[[#This Row],[Raw (2)]]*ice_elem_bonus)</f>
        <v>5.8333333333333334E-2</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3.95</v>
      </c>
      <c r="CK13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6" s="113">
        <f ca="1">TblMili[[#This Row],[Mystic bonus]]*TblMili[[#This Row],[Unit 3]]+TblMili[[#This Row],[Druid bonus]]*TblMili[[#This Row],[Unit 4]]</f>
        <v>4836.25</v>
      </c>
      <c r="CM136" s="201">
        <f ca="1">MIN(6,TblMili[[#This Row],[Dryad]]+Races!$F$35)*1.8 +  IF(TblMili[[#This Row],[Dryad]]+Races!$F$35&gt;6,(TblMili[[#This Row],[Dryad]]+Races!$F$35-6)*0.2,0) - Races!$I$19</f>
        <v>3.7500000000000009</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5.4</v>
      </c>
      <c r="CT136" s="201">
        <f ca="1">1.8 * MIN(MAX(TblMili[[#This Row],[Ice Elemental]]+Races!$E$71,Races!$F$71),6)  +  0.45 * MIN(MIN(TblMili[[#This Row],[Ice Elemental]]+Races!$E$71,Races!$F$71),6)  +  0.2 * ( MAX(TblMili[[#This Row],[Ice Elemental]]+Races!$E$71-6,0) + MAX(Races!$F$71-6,0) )  -  Races!$I$71</f>
        <v>0.10500000000000043</v>
      </c>
      <c r="CU136" s="113">
        <f ca="1">TblMili[[#This Row],[Frost Mage bonus]]*TblMili[[#This Row],[Unit 3]]+TblMili[[#This Row],[Ice Elemental bonus]]*TblMili[[#This Row],[Unit 4]]</f>
        <v>738.00000000000023</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6" s="184"/>
      <c r="DA136" s="326">
        <f ca="1">(TblMili[[#This Row],[Wizards]]+2*TblMili[[#This Row],[Archmages]])/TblConstr[[#This Row],[Land]]</f>
        <v>5.8333333333333334E-2</v>
      </c>
      <c r="DB136" s="326">
        <f ca="1">TblMili[[#This Row],[Raw (2)]]*(1+race_wizard_strength+IF(TblMili[[#This Row],[Hour]]&gt;72,tech_magical_weaponry_wiz*TblTech[[#This Row],[3-5]],0))</f>
        <v>5.8333333333333334E-2</v>
      </c>
    </row>
    <row r="137" spans="1:106" x14ac:dyDescent="0.2">
      <c r="AI137" s="49">
        <v>100</v>
      </c>
    </row>
    <row r="139" spans="1:106" x14ac:dyDescent="0.2">
      <c r="AE139" s="49">
        <f ca="1">SUM(E136:K136)</f>
        <v>1876</v>
      </c>
    </row>
    <row r="1269" spans="2:3" x14ac:dyDescent="0.2">
      <c r="B1269" s="585" t="s">
        <v>327</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2" priority="37" stopIfTrue="1">
      <formula>ROW()-2=#REF!</formula>
    </cfRule>
  </conditionalFormatting>
  <conditionalFormatting sqref="A1269:DB1270">
    <cfRule type="expression" dxfId="381" priority="38" stopIfTrue="1">
      <formula>$B$1270&gt;144</formula>
    </cfRule>
  </conditionalFormatting>
  <conditionalFormatting sqref="A4:DB136">
    <cfRule type="expression" dxfId="380" priority="1" stopIfTrue="1">
      <formula>ROW()-3=$B$1270</formula>
    </cfRule>
    <cfRule type="expression" dxfId="379" priority="2" stopIfTrue="1">
      <formula>OR(ROW()-3=$B$1270,A4&lt;0)</formula>
    </cfRule>
    <cfRule type="expression" dxfId="378" priority="35">
      <formula>$A4=73</formula>
    </cfRule>
  </conditionalFormatting>
  <conditionalFormatting sqref="A3:DB136">
    <cfRule type="expression" dxfId="377" priority="39">
      <formula>ROUND(($A3-1)/12,0)=INT($A3-1)/12</formula>
    </cfRule>
  </conditionalFormatting>
  <conditionalFormatting sqref="A1:XFD3">
    <cfRule type="expression" dxfId="376"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P37" sqref="P37"/>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7"/>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4"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17">
        <f>1-TblMagic[[#This Row],[Wiz str cost]]</f>
        <v>1</v>
      </c>
      <c r="E4" s="205">
        <f>Imps!L4</f>
        <v>44404.75</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44404.791666666664</v>
      </c>
      <c r="F5" s="202">
        <f ca="1">TblImps[[#This Row],[Population]]</f>
        <v>0.51573316551290116</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44404.833333333328</v>
      </c>
      <c r="F6" s="202">
        <f ca="1">TblImps[[#This Row],[Population]]</f>
        <v>0.52800503461296411</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44404.874999999993</v>
      </c>
      <c r="F7" s="202">
        <f ca="1">TblImps[[#This Row],[Population]]</f>
        <v>0.54059156702328504</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44404.916666666657</v>
      </c>
      <c r="F8" s="202">
        <f ca="1">TblImps[[#This Row],[Population]]</f>
        <v>0.55349276274386405</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44404.958333333321</v>
      </c>
      <c r="F9" s="202">
        <f ca="1">TblImps[[#This Row],[Population]]</f>
        <v>0.56670862177470105</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44404.999999999985</v>
      </c>
      <c r="F10" s="202">
        <f ca="1">TblImps[[#This Row],[Population]]</f>
        <v>0.58023914411579613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44405.04166666665</v>
      </c>
      <c r="F11" s="202">
        <f ca="1">TblImps[[#This Row],[Population]]</f>
        <v>0.59376966645689111</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44405.083333333314</v>
      </c>
      <c r="F12" s="202">
        <f ca="1">TblImps[[#This Row],[Population]]</f>
        <v>0.60761485210824417</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44405.124999999978</v>
      </c>
      <c r="F13" s="202">
        <f ca="1">TblImps[[#This Row],[Population]]</f>
        <v>0.62177470106985522</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44405.166666666642</v>
      </c>
      <c r="F14" s="202">
        <f ca="1">TblImps[[#This Row],[Population]]</f>
        <v>0.63624921334172435</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44405.208333333307</v>
      </c>
      <c r="F15" s="202">
        <f ca="1">TblImps[[#This Row],[Population]]</f>
        <v>0.65103838892385146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375</v>
      </c>
      <c r="D16" s="202">
        <f ca="1">MIN(1,OFFSET(TblMagic[[#This Row],[Wiz str]],-1,0)+0.04+ROUNDDOWN(10*OFFSET(TblMili[[#This Row],[WG''s]],-1,0),0)+ tech_2_7*OFFSET(TblTech[[#This Row],[2-7]],-1,0) + tech_5_6*OFFSET(TblTech[[#This Row],[5-6]],-1,0) )-TblMagic[[#This Row],[Wiz str cost]]</f>
        <v>1</v>
      </c>
      <c r="E16" s="205">
        <f ca="1">OFFSET(TblMagic[[#This Row],[Time]],-1,0)+1/24</f>
        <v>44405.249999999971</v>
      </c>
      <c r="F16" s="202">
        <f ca="1">TblImps[[#This Row],[Population]]</f>
        <v>0.63687853996224042</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118</v>
      </c>
      <c r="D17" s="202">
        <f ca="1">MIN(1,OFFSET(TblMagic[[#This Row],[Wiz str]],-1,0)+0.04+ROUNDDOWN(10*OFFSET(TblMili[[#This Row],[WG''s]],-1,0),0)+ tech_2_7*OFFSET(TblTech[[#This Row],[2-7]],-1,0) + tech_5_6*OFFSET(TblTech[[#This Row],[5-6]],-1,0) )-TblMagic[[#This Row],[Wiz str cost]]</f>
        <v>0.95</v>
      </c>
      <c r="E17" s="205">
        <f ca="1">OFFSET(TblMagic[[#This Row],[Time]],-1,0)+1/24</f>
        <v>44405.291666666635</v>
      </c>
      <c r="F17" s="202">
        <f ca="1">TblImps[[#This Row],[Population]]</f>
        <v>0.52451225612806407</v>
      </c>
      <c r="G17" s="284"/>
      <c r="H17" s="284"/>
      <c r="I17" s="284"/>
      <c r="J17" s="284"/>
      <c r="K17" s="525">
        <v>1</v>
      </c>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625</v>
      </c>
      <c r="X17" s="202">
        <f>SUMIF(TblMagic[[#This Row],[Gaia''s Watch]:[Useless spell]],1)*0.05</f>
        <v>0.05</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12</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491</v>
      </c>
      <c r="D18" s="202">
        <f ca="1">MIN(1,OFFSET(TblMagic[[#This Row],[Wiz str]],-1,0)+0.04+ROUNDDOWN(10*OFFSET(TblMili[[#This Row],[WG''s]],-1,0),0)+ tech_2_7*OFFSET(TblTech[[#This Row],[2-7]],-1,0) + tech_5_6*OFFSET(TblTech[[#This Row],[5-6]],-1,0) )-TblMagic[[#This Row],[Wiz str cost]]</f>
        <v>0.99</v>
      </c>
      <c r="E18" s="205">
        <f ca="1">OFFSET(TblMagic[[#This Row],[Time]],-1,0)+1/24</f>
        <v>44405.333333333299</v>
      </c>
      <c r="F18" s="202">
        <f ca="1">TblImps[[#This Row],[Population]]</f>
        <v>0.54977488744372183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11</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231</v>
      </c>
      <c r="D19" s="202">
        <f ca="1">MIN(1,OFFSET(TblMagic[[#This Row],[Wiz str]],-1,0)+0.04+ROUNDDOWN(10*OFFSET(TblMili[[#This Row],[WG''s]],-1,0),0)+ tech_2_7*OFFSET(TblTech[[#This Row],[2-7]],-1,0) + tech_5_6*OFFSET(TblTech[[#This Row],[5-6]],-1,0) )-TblMagic[[#This Row],[Wiz str cost]]</f>
        <v>0.95</v>
      </c>
      <c r="E19" s="205">
        <f ca="1">OFFSET(TblMagic[[#This Row],[Time]],-1,0)+1/24</f>
        <v>44405.374999999964</v>
      </c>
      <c r="F19" s="202">
        <f ca="1">TblImps[[#This Row],[Population]]</f>
        <v>0.57628814407203599</v>
      </c>
      <c r="G19" s="284"/>
      <c r="H19" s="284"/>
      <c r="I19" s="284"/>
      <c r="J19" s="284">
        <v>1</v>
      </c>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625</v>
      </c>
      <c r="X19" s="202">
        <f>SUMIF(TblMagic[[#This Row],[Gaia''s Watch]:[Useless spell]],1)*0.05</f>
        <v>0.05</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12</v>
      </c>
      <c r="AD19" s="141">
        <f ca="1">IF(TblMagic[[#This Row],[Harmony]],12,IF(OFFSET(TblMagic[[#This Row],[Active Harmony]],-1,0)&gt;0,OFFSET(TblMagic[[#This Row],[Active Harmony]],-1,0)-1,0))</f>
        <v>10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601</v>
      </c>
      <c r="D20" s="202">
        <f ca="1">MIN(1,OFFSET(TblMagic[[#This Row],[Wiz str]],-1,0)+0.04+ROUNDDOWN(10*OFFSET(TblMili[[#This Row],[WG''s]],-1,0),0)+ tech_2_7*OFFSET(TblTech[[#This Row],[2-7]],-1,0) + tech_5_6*OFFSET(TblTech[[#This Row],[5-6]],-1,0) )-TblMagic[[#This Row],[Wiz str cost]]</f>
        <v>0.99</v>
      </c>
      <c r="E20" s="205">
        <f ca="1">OFFSET(TblMagic[[#This Row],[Time]],-1,0)+1/24</f>
        <v>44405.416666666628</v>
      </c>
      <c r="F20" s="202">
        <f ca="1">TblImps[[#This Row],[Population]]</f>
        <v>0.60405202601300645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11</v>
      </c>
      <c r="AD20" s="141">
        <f ca="1">IF(TblMagic[[#This Row],[Harmony]],12,IF(OFFSET(TblMagic[[#This Row],[Active Harmony]],-1,0)&gt;0,OFFSET(TblMagic[[#This Row],[Active Harmony]],-1,0)-1,0))</f>
        <v>9</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964</v>
      </c>
      <c r="D21" s="202">
        <f ca="1">MIN(1,OFFSET(TblMagic[[#This Row],[Wiz str]],-1,0)+0.04+ROUNDDOWN(10*OFFSET(TblMili[[#This Row],[WG''s]],-1,0),0)+ tech_2_7*OFFSET(TblTech[[#This Row],[2-7]],-1,0) + tech_5_6*OFFSET(TblTech[[#This Row],[5-6]],-1,0) )-TblMagic[[#This Row],[Wiz str cost]]</f>
        <v>1</v>
      </c>
      <c r="E21" s="205">
        <f ca="1">OFFSET(TblMagic[[#This Row],[Time]],-1,0)+1/24</f>
        <v>44405.458333333292</v>
      </c>
      <c r="F21" s="202">
        <f ca="1">TblImps[[#This Row],[Population]]</f>
        <v>0.63331665832916462</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10</v>
      </c>
      <c r="AD21" s="141">
        <f ca="1">IF(TblMagic[[#This Row],[Harmony]],12,IF(OFFSET(TblMagic[[#This Row],[Active Harmony]],-1,0)&gt;0,OFFSET(TblMagic[[#This Row],[Active Harmony]],-1,0)-1,0))</f>
        <v>8</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1320</v>
      </c>
      <c r="D22" s="202">
        <f ca="1">MIN(1,OFFSET(TblMagic[[#This Row],[Wiz str]],-1,0)+0.04+ROUNDDOWN(10*OFFSET(TblMili[[#This Row],[WG''s]],-1,0),0)+ tech_2_7*OFFSET(TblTech[[#This Row],[2-7]],-1,0) + tech_5_6*OFFSET(TblTech[[#This Row],[5-6]],-1,0) )-TblMagic[[#This Row],[Wiz str cost]]</f>
        <v>1</v>
      </c>
      <c r="E22" s="205">
        <f ca="1">OFFSET(TblMagic[[#This Row],[Time]],-1,0)+1/24</f>
        <v>44405.499999999956</v>
      </c>
      <c r="F22" s="202">
        <f ca="1">TblImps[[#This Row],[Population]]</f>
        <v>0.66383191595797897</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9</v>
      </c>
      <c r="AD22" s="141">
        <f ca="1">IF(TblMagic[[#This Row],[Harmony]],12,IF(OFFSET(TblMagic[[#This Row],[Active Harmony]],-1,0)&gt;0,OFFSET(TblMagic[[#This Row],[Active Harmony]],-1,0)-1,0))</f>
        <v>7</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1669</v>
      </c>
      <c r="D23" s="202">
        <f ca="1">MIN(1,OFFSET(TblMagic[[#This Row],[Wiz str]],-1,0)+0.04+ROUNDDOWN(10*OFFSET(TblMili[[#This Row],[WG''s]],-1,0),0)+ tech_2_7*OFFSET(TblTech[[#This Row],[2-7]],-1,0) + tech_5_6*OFFSET(TblTech[[#This Row],[5-6]],-1,0) )-TblMagic[[#This Row],[Wiz str cost]]</f>
        <v>1</v>
      </c>
      <c r="E23" s="205">
        <f ca="1">OFFSET(TblMagic[[#This Row],[Time]],-1,0)+1/24</f>
        <v>44405.541666666621</v>
      </c>
      <c r="F23" s="202">
        <f ca="1">TblImps[[#This Row],[Population]]</f>
        <v>0.69584792396198103</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8</v>
      </c>
      <c r="AD23" s="141">
        <f ca="1">IF(TblMagic[[#This Row],[Harmony]],12,IF(OFFSET(TblMagic[[#This Row],[Active Harmony]],-1,0)&gt;0,OFFSET(TblMagic[[#This Row],[Active Harmony]],-1,0)-1,0))</f>
        <v>6</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2011</v>
      </c>
      <c r="D24" s="202">
        <f ca="1">MIN(1,OFFSET(TblMagic[[#This Row],[Wiz str]],-1,0)+0.04+ROUNDDOWN(10*OFFSET(TblMili[[#This Row],[WG''s]],-1,0),0)+ tech_2_7*OFFSET(TblTech[[#This Row],[2-7]],-1,0) + tech_5_6*OFFSET(TblTech[[#This Row],[5-6]],-1,0) )-TblMagic[[#This Row],[Wiz str cost]]</f>
        <v>1</v>
      </c>
      <c r="E24" s="205">
        <f ca="1">OFFSET(TblMagic[[#This Row],[Time]],-1,0)+1/24</f>
        <v>44405.583333333285</v>
      </c>
      <c r="F24" s="202">
        <f ca="1">TblImps[[#This Row],[Population]]</f>
        <v>0.72961480740370188</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7</v>
      </c>
      <c r="AD24" s="141">
        <f ca="1">IF(TblMagic[[#This Row],[Harmony]],12,IF(OFFSET(TblMagic[[#This Row],[Active Harmony]],-1,0)&gt;0,OFFSET(TblMagic[[#This Row],[Active Harmony]],-1,0)-1,0))</f>
        <v>5</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2346</v>
      </c>
      <c r="D25" s="202">
        <f ca="1">MIN(1,OFFSET(TblMagic[[#This Row],[Wiz str]],-1,0)+0.04+ROUNDDOWN(10*OFFSET(TblMili[[#This Row],[WG''s]],-1,0),0)+ tech_2_7*OFFSET(TblTech[[#This Row],[2-7]],-1,0) + tech_5_6*OFFSET(TblTech[[#This Row],[5-6]],-1,0) )-TblMagic[[#This Row],[Wiz str cost]]</f>
        <v>1</v>
      </c>
      <c r="E25" s="205">
        <f ca="1">OFFSET(TblMagic[[#This Row],[Time]],-1,0)+1/24</f>
        <v>44405.624999999949</v>
      </c>
      <c r="F25" s="202">
        <f ca="1">TblImps[[#This Row],[Population]]</f>
        <v>0.76488244122061033</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6</v>
      </c>
      <c r="AD25" s="141">
        <f ca="1">IF(TblMagic[[#This Row],[Harmony]],12,IF(OFFSET(TblMagic[[#This Row],[Active Harmony]],-1,0)&gt;0,OFFSET(TblMagic[[#This Row],[Active Harmony]],-1,0)-1,0))</f>
        <v>4</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2674</v>
      </c>
      <c r="D26" s="202">
        <f ca="1">MIN(1,OFFSET(TblMagic[[#This Row],[Wiz str]],-1,0)+0.04+ROUNDDOWN(10*OFFSET(TblMili[[#This Row],[WG''s]],-1,0),0)+ tech_2_7*OFFSET(TblTech[[#This Row],[2-7]],-1,0) + tech_5_6*OFFSET(TblTech[[#This Row],[5-6]],-1,0) )-TblMagic[[#This Row],[Wiz str cost]]</f>
        <v>1</v>
      </c>
      <c r="E26" s="205">
        <f ca="1">OFFSET(TblMagic[[#This Row],[Time]],-1,0)+1/24</f>
        <v>44405.666666666613</v>
      </c>
      <c r="F26" s="202">
        <f ca="1">TblImps[[#This Row],[Population]]</f>
        <v>0.80190095047523757</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5</v>
      </c>
      <c r="AD26" s="141">
        <f ca="1">IF(TblMagic[[#This Row],[Harmony]],12,IF(OFFSET(TblMagic[[#This Row],[Active Harmony]],-1,0)&gt;0,OFFSET(TblMagic[[#This Row],[Active Harmony]],-1,0)-1,0))</f>
        <v>3</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270</v>
      </c>
      <c r="C27" s="113">
        <f ca="1">TblProd[[#This Row],[Mana]]</f>
        <v>2996</v>
      </c>
      <c r="D27" s="202">
        <f ca="1">MIN(1,OFFSET(TblMagic[[#This Row],[Wiz str]],-1,0)+0.04+ROUNDDOWN(10*OFFSET(TblMili[[#This Row],[WG''s]],-1,0),0)+ tech_2_7*OFFSET(TblTech[[#This Row],[2-7]],-1,0) + tech_5_6*OFFSET(TblTech[[#This Row],[5-6]],-1,0) )-TblMagic[[#This Row],[Wiz str cost]]</f>
        <v>1</v>
      </c>
      <c r="E27" s="205">
        <f ca="1">OFFSET(TblMagic[[#This Row],[Time]],-1,0)+1/24</f>
        <v>44405.708333333278</v>
      </c>
      <c r="F27" s="202">
        <f ca="1">TblImps[[#This Row],[Population]]</f>
        <v>0.70560280140070031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4</v>
      </c>
      <c r="AD27" s="141">
        <f ca="1">IF(TblMagic[[#This Row],[Harmony]],12,IF(OFFSET(TblMagic[[#This Row],[Active Harmony]],-1,0)&gt;0,OFFSET(TblMagic[[#This Row],[Active Harmony]],-1,0)-1,0))</f>
        <v>2</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299</v>
      </c>
      <c r="C28" s="113">
        <f ca="1">TblProd[[#This Row],[Mana]]</f>
        <v>3311</v>
      </c>
      <c r="D28" s="202">
        <f ca="1">MIN(1,OFFSET(TblMagic[[#This Row],[Wiz str]],-1,0)+0.04+ROUNDDOWN(10*OFFSET(TblMili[[#This Row],[WG''s]],-1,0),0)+ tech_2_7*OFFSET(TblTech[[#This Row],[2-7]],-1,0) + tech_5_6*OFFSET(TblTech[[#This Row],[5-6]],-1,0) )-TblMagic[[#This Row],[Wiz str cost]]</f>
        <v>1</v>
      </c>
      <c r="E28" s="205">
        <f ca="1">OFFSET(TblMagic[[#This Row],[Time]],-1,0)+1/24</f>
        <v>44405.749999999942</v>
      </c>
      <c r="F28" s="202">
        <f ca="1">TblImps[[#This Row],[Population]]</f>
        <v>0.66838796587337224</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3</v>
      </c>
      <c r="AD28" s="141">
        <f ca="1">IF(TblMagic[[#This Row],[Harmony]],12,IF(OFFSET(TblMagic[[#This Row],[Active Harmony]],-1,0)&gt;0,OFFSET(TblMagic[[#This Row],[Active Harmony]],-1,0)-1,0))</f>
        <v>1</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299</v>
      </c>
      <c r="C29" s="113">
        <f ca="1">TblProd[[#This Row],[Mana]]</f>
        <v>2872.5</v>
      </c>
      <c r="D29" s="202">
        <f ca="1">MIN(1,OFFSET(TblMagic[[#This Row],[Wiz str]],-1,0)+0.04+ROUNDDOWN(10*OFFSET(TblMili[[#This Row],[WG''s]],-1,0),0)+ tech_2_7*OFFSET(TblTech[[#This Row],[2-7]],-1,0) + tech_5_6*OFFSET(TblTech[[#This Row],[5-6]],-1,0) )-TblMagic[[#This Row],[Wiz str cost]]</f>
        <v>0.95</v>
      </c>
      <c r="E29" s="205">
        <f ca="1">OFFSET(TblMagic[[#This Row],[Time]],-1,0)+1/24</f>
        <v>44405.791666666606</v>
      </c>
      <c r="F29" s="202">
        <f ca="1">TblImps[[#This Row],[Population]]</f>
        <v>0.66112397390023148</v>
      </c>
      <c r="G29" s="284"/>
      <c r="H29" s="284"/>
      <c r="I29" s="284"/>
      <c r="J29" s="284"/>
      <c r="K29" s="525">
        <v>1</v>
      </c>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747.5</v>
      </c>
      <c r="X29" s="202">
        <f>SUMIF(TblMagic[[#This Row],[Gaia''s Watch]:[Useless spell]],1)*0.05</f>
        <v>0.05</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2</v>
      </c>
      <c r="AD29" s="141">
        <f ca="1">IF(TblMagic[[#This Row],[Harmony]],12,IF(OFFSET(TblMagic[[#This Row],[Active Harmony]],-1,0)&gt;0,OFFSET(TblMagic[[#This Row],[Active Harmony]],-1,0)-1,0))</f>
        <v>12</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299</v>
      </c>
      <c r="C30" s="113">
        <f ca="1">TblProd[[#This Row],[Mana]]</f>
        <v>3190.5</v>
      </c>
      <c r="D30" s="202">
        <f ca="1">MIN(1,OFFSET(TblMagic[[#This Row],[Wiz str]],-1,0)+0.04+ROUNDDOWN(10*OFFSET(TblMili[[#This Row],[WG''s]],-1,0),0)+ tech_2_7*OFFSET(TblTech[[#This Row],[2-7]],-1,0) + tech_5_6*OFFSET(TblTech[[#This Row],[5-6]],-1,0) )-TblMagic[[#This Row],[Wiz str cost]]</f>
        <v>0.99</v>
      </c>
      <c r="E30" s="205">
        <f ca="1">OFFSET(TblMagic[[#This Row],[Time]],-1,0)+1/24</f>
        <v>44405.83333333327</v>
      </c>
      <c r="F30" s="202">
        <f ca="1">TblImps[[#This Row],[Population]]</f>
        <v>0.6971163965480951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1</v>
      </c>
      <c r="AD30" s="141">
        <f ca="1">IF(TblMagic[[#This Row],[Harmony]],12,IF(OFFSET(TblMagic[[#This Row],[Active Harmony]],-1,0)&gt;0,OFFSET(TblMagic[[#This Row],[Active Harmony]],-1,0)-1,0))</f>
        <v>11</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299</v>
      </c>
      <c r="C31" s="113">
        <f ca="1">TblProd[[#This Row],[Mana]]</f>
        <v>2754</v>
      </c>
      <c r="D31" s="202">
        <f ca="1">MIN(1,OFFSET(TblMagic[[#This Row],[Wiz str]],-1,0)+0.04+ROUNDDOWN(10*OFFSET(TblMili[[#This Row],[WG''s]],-1,0),0)+ tech_2_7*OFFSET(TblTech[[#This Row],[2-7]],-1,0) + tech_5_6*OFFSET(TblTech[[#This Row],[5-6]],-1,0) )-TblMagic[[#This Row],[Wiz str cost]]</f>
        <v>0.95</v>
      </c>
      <c r="E31" s="205">
        <f ca="1">OFFSET(TblMagic[[#This Row],[Time]],-1,0)+1/24</f>
        <v>44405.874999999935</v>
      </c>
      <c r="F31" s="202">
        <f ca="1">TblImps[[#This Row],[Population]]</f>
        <v>0.73479267522626812</v>
      </c>
      <c r="G31" s="284"/>
      <c r="H31" s="284"/>
      <c r="I31" s="284"/>
      <c r="J31" s="284">
        <v>1</v>
      </c>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747.5</v>
      </c>
      <c r="X31" s="202">
        <f>SUMIF(TblMagic[[#This Row],[Gaia''s Watch]:[Useless spell]],1)*0.05</f>
        <v>0.05</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12</v>
      </c>
      <c r="AD31" s="141">
        <f ca="1">IF(TblMagic[[#This Row],[Harmony]],12,IF(OFFSET(TblMagic[[#This Row],[Active Harmony]],-1,0)&gt;0,OFFSET(TblMagic[[#This Row],[Active Harmony]],-1,0)-1,0))</f>
        <v>10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299</v>
      </c>
      <c r="C32" s="113">
        <f ca="1">TblProd[[#This Row],[Mana]]</f>
        <v>3074</v>
      </c>
      <c r="D32" s="202">
        <f ca="1">MIN(1,OFFSET(TblMagic[[#This Row],[Wiz str]],-1,0)+0.04+ROUNDDOWN(10*OFFSET(TblMili[[#This Row],[WG''s]],-1,0),0)+ tech_2_7*OFFSET(TblTech[[#This Row],[2-7]],-1,0) + tech_5_6*OFFSET(TblTech[[#This Row],[5-6]],-1,0) )-TblMagic[[#This Row],[Wiz str cost]]</f>
        <v>0.99</v>
      </c>
      <c r="E32" s="205">
        <f ca="1">OFFSET(TblMagic[[#This Row],[Time]],-1,0)+1/24</f>
        <v>44405.916666666599</v>
      </c>
      <c r="F32" s="202">
        <f ca="1">TblImps[[#This Row],[Population]]</f>
        <v>0.77436329193853926</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11</v>
      </c>
      <c r="AD32" s="141">
        <f ca="1">IF(TblMagic[[#This Row],[Harmony]],12,IF(OFFSET(TblMagic[[#This Row],[Active Harmony]],-1,0)&gt;0,OFFSET(TblMagic[[#This Row],[Active Harmony]],-1,0)-1,0))</f>
        <v>9</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299</v>
      </c>
      <c r="C33" s="113">
        <f ca="1">TblProd[[#This Row],[Mana]]</f>
        <v>3388</v>
      </c>
      <c r="D33" s="202">
        <f ca="1">MIN(1,OFFSET(TblMagic[[#This Row],[Wiz str]],-1,0)+0.04+ROUNDDOWN(10*OFFSET(TblMili[[#This Row],[WG''s]],-1,0),0)+ tech_2_7*OFFSET(TblTech[[#This Row],[2-7]],-1,0) + tech_5_6*OFFSET(TblTech[[#This Row],[5-6]],-1,0) )-TblMagic[[#This Row],[Wiz str cost]]</f>
        <v>1</v>
      </c>
      <c r="E33" s="205">
        <f ca="1">OFFSET(TblMagic[[#This Row],[Time]],-1,0)+1/24</f>
        <v>44405.958333333263</v>
      </c>
      <c r="F33" s="202">
        <f ca="1">TblImps[[#This Row],[Population]]</f>
        <v>0.81561776468111979</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10</v>
      </c>
      <c r="AD33" s="141">
        <f ca="1">IF(TblMagic[[#This Row],[Harmony]],12,IF(OFFSET(TblMagic[[#This Row],[Active Harmony]],-1,0)&gt;0,OFFSET(TblMagic[[#This Row],[Active Harmony]],-1,0)-1,0))</f>
        <v>8</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299</v>
      </c>
      <c r="C34" s="113">
        <f ca="1">TblProd[[#This Row],[Mana]]</f>
        <v>3695</v>
      </c>
      <c r="D34" s="202">
        <f ca="1">MIN(1,OFFSET(TblMagic[[#This Row],[Wiz str]],-1,0)+0.04+ROUNDDOWN(10*OFFSET(TblMili[[#This Row],[WG''s]],-1,0),0)+ tech_2_7*OFFSET(TblTech[[#This Row],[2-7]],-1,0) + tech_5_6*OFFSET(TblTech[[#This Row],[5-6]],-1,0) )-TblMagic[[#This Row],[Wiz str cost]]</f>
        <v>1</v>
      </c>
      <c r="E34" s="205">
        <f ca="1">OFFSET(TblMagic[[#This Row],[Time]],-1,0)+1/24</f>
        <v>44405.999999999927</v>
      </c>
      <c r="F34" s="202">
        <f ca="1">TblImps[[#This Row],[Population]]</f>
        <v>0.85876657545779833</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9</v>
      </c>
      <c r="AD34" s="141">
        <f ca="1">IF(TblMagic[[#This Row],[Harmony]],12,IF(OFFSET(TblMagic[[#This Row],[Active Harmony]],-1,0)&gt;0,OFFSET(TblMagic[[#This Row],[Active Harmony]],-1,0)-1,0))</f>
        <v>7</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299</v>
      </c>
      <c r="C35" s="113">
        <f ca="1">TblProd[[#This Row],[Mana]]</f>
        <v>3996</v>
      </c>
      <c r="D35" s="202">
        <f ca="1">MIN(1,OFFSET(TblMagic[[#This Row],[Wiz str]],-1,0)+0.04+ROUNDDOWN(10*OFFSET(TblMili[[#This Row],[WG''s]],-1,0),0)+ tech_2_7*OFFSET(TblTech[[#This Row],[2-7]],-1,0) + tech_5_6*OFFSET(TblTech[[#This Row],[5-6]],-1,0) )-TblMagic[[#This Row],[Wiz str cost]]</f>
        <v>1</v>
      </c>
      <c r="E35" s="205">
        <f ca="1">OFFSET(TblMagic[[#This Row],[Time]],-1,0)+1/24</f>
        <v>44406.041666666591</v>
      </c>
      <c r="F35" s="202">
        <f ca="1">TblImps[[#This Row],[Population]]</f>
        <v>0.90402020627236368</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8</v>
      </c>
      <c r="AD35" s="141">
        <f ca="1">IF(TblMagic[[#This Row],[Harmony]],12,IF(OFFSET(TblMagic[[#This Row],[Active Harmony]],-1,0)&gt;0,OFFSET(TblMagic[[#This Row],[Active Harmony]],-1,0)-1,0))</f>
        <v>6</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299</v>
      </c>
      <c r="C36" s="113">
        <f ca="1">TblProd[[#This Row],[Mana]]</f>
        <v>4291</v>
      </c>
      <c r="D36" s="202">
        <f ca="1">MIN(1,OFFSET(TblMagic[[#This Row],[Wiz str]],-1,0)+0.04+ROUNDDOWN(10*OFFSET(TblMili[[#This Row],[WG''s]],-1,0),0)+ tech_2_7*OFFSET(TblTech[[#This Row],[2-7]],-1,0) + tech_5_6*OFFSET(TblTech[[#This Row],[5-6]],-1,0) )-TblMagic[[#This Row],[Wiz str cost]]</f>
        <v>1</v>
      </c>
      <c r="E36" s="205">
        <f ca="1">OFFSET(TblMagic[[#This Row],[Time]],-1,0)+1/24</f>
        <v>44406.083333333256</v>
      </c>
      <c r="F36" s="202">
        <f ca="1">TblImps[[#This Row],[Population]]</f>
        <v>0.95137865712481584</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7</v>
      </c>
      <c r="AD36" s="141">
        <f ca="1">IF(TblMagic[[#This Row],[Harmony]],12,IF(OFFSET(TblMagic[[#This Row],[Active Harmony]],-1,0)&gt;0,OFFSET(TblMagic[[#This Row],[Active Harmony]],-1,0)-1,0))</f>
        <v>5</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299</v>
      </c>
      <c r="C37" s="113">
        <f ca="1">TblProd[[#This Row],[Mana]]</f>
        <v>4580</v>
      </c>
      <c r="D37" s="202">
        <f ca="1">MIN(1,OFFSET(TblMagic[[#This Row],[Wiz str]],-1,0)+0.04+ROUNDDOWN(10*OFFSET(TblMili[[#This Row],[WG''s]],-1,0),0)+ tech_2_7*OFFSET(TblTech[[#This Row],[2-7]],-1,0) + tech_5_6*OFFSET(TblTech[[#This Row],[5-6]],-1,0) )-TblMagic[[#This Row],[Wiz str cost]]</f>
        <v>1</v>
      </c>
      <c r="E37" s="205">
        <f ca="1">OFFSET(TblMagic[[#This Row],[Time]],-1,0)+1/24</f>
        <v>44406.12499999992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6</v>
      </c>
      <c r="AD37" s="141">
        <f ca="1">IF(TblMagic[[#This Row],[Harmony]],12,IF(OFFSET(TblMagic[[#This Row],[Active Harmony]],-1,0)&gt;0,OFFSET(TblMagic[[#This Row],[Active Harmony]],-1,0)-1,0))</f>
        <v>4</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299</v>
      </c>
      <c r="C38" s="113">
        <f ca="1">TblProd[[#This Row],[Mana]]</f>
        <v>4863</v>
      </c>
      <c r="D38" s="202">
        <f ca="1">MIN(1,OFFSET(TblMagic[[#This Row],[Wiz str]],-1,0)+0.04+ROUNDDOWN(10*OFFSET(TblMili[[#This Row],[WG''s]],-1,0),0)+ tech_2_7*OFFSET(TblTech[[#This Row],[2-7]],-1,0) + tech_5_6*OFFSET(TblTech[[#This Row],[5-6]],-1,0) )-TblMagic[[#This Row],[Wiz str cost]]</f>
        <v>1</v>
      </c>
      <c r="E38" s="205">
        <f ca="1">OFFSET(TblMagic[[#This Row],[Time]],-1,0)+1/24</f>
        <v>44406.166666666584</v>
      </c>
      <c r="F38" s="202">
        <f ca="1">TblImps[[#This Row],[Population]]</f>
        <v>0.91917491054514844</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5</v>
      </c>
      <c r="AD38" s="141">
        <f ca="1">IF(TblMagic[[#This Row],[Harmony]],12,IF(OFFSET(TblMagic[[#This Row],[Active Harmony]],-1,0)&gt;0,OFFSET(TblMagic[[#This Row],[Active Harmony]],-1,0)-1,0))</f>
        <v>3</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434</v>
      </c>
      <c r="C39" s="113">
        <f ca="1">TblProd[[#This Row],[Mana]]</f>
        <v>5141</v>
      </c>
      <c r="D39" s="202">
        <f ca="1">MIN(1,OFFSET(TblMagic[[#This Row],[Wiz str]],-1,0)+0.04+ROUNDDOWN(10*OFFSET(TblMili[[#This Row],[WG''s]],-1,0),0)+ tech_2_7*OFFSET(TblTech[[#This Row],[2-7]],-1,0) + tech_5_6*OFFSET(TblTech[[#This Row],[5-6]],-1,0) )-TblMagic[[#This Row],[Wiz str cost]]</f>
        <v>1</v>
      </c>
      <c r="E39" s="205">
        <f ca="1">OFFSET(TblMagic[[#This Row],[Time]],-1,0)+1/24</f>
        <v>44406.208333333248</v>
      </c>
      <c r="F39" s="202">
        <f ca="1">TblImps[[#This Row],[Population]]</f>
        <v>0.8364872313062649</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4</v>
      </c>
      <c r="AD39" s="141">
        <f ca="1">IF(TblMagic[[#This Row],[Harmony]],12,IF(OFFSET(TblMagic[[#This Row],[Active Harmony]],-1,0)&gt;0,OFFSET(TblMagic[[#This Row],[Active Harmony]],-1,0)-1,0))</f>
        <v>2</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434</v>
      </c>
      <c r="C40" s="113">
        <f ca="1">TblProd[[#This Row],[Mana]]</f>
        <v>5413</v>
      </c>
      <c r="D40" s="202">
        <f ca="1">MIN(1,OFFSET(TblMagic[[#This Row],[Wiz str]],-1,0)+0.04+ROUNDDOWN(10*OFFSET(TblMili[[#This Row],[WG''s]],-1,0),0)+ tech_2_7*OFFSET(TblTech[[#This Row],[2-7]],-1,0) + tech_5_6*OFFSET(TblTech[[#This Row],[5-6]],-1,0) )-TblMagic[[#This Row],[Wiz str cost]]</f>
        <v>1</v>
      </c>
      <c r="E40" s="205">
        <f ca="1">OFFSET(TblMagic[[#This Row],[Time]],-1,0)+1/24</f>
        <v>44406.249999999913</v>
      </c>
      <c r="F40" s="202">
        <f ca="1">TblImps[[#This Row],[Population]]</f>
        <v>0.69459499047898055</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3</v>
      </c>
      <c r="AD40" s="141">
        <f ca="1">IF(TblMagic[[#This Row],[Harmony]],12,IF(OFFSET(TblMagic[[#This Row],[Active Harmony]],-1,0)&gt;0,OFFSET(TblMagic[[#This Row],[Active Harmony]],-1,0)-1,0))</f>
        <v>1</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434</v>
      </c>
      <c r="C41" s="113">
        <f ca="1">TblProd[[#This Row],[Mana]]</f>
        <v>4595</v>
      </c>
      <c r="D41" s="202">
        <f ca="1">MIN(1,OFFSET(TblMagic[[#This Row],[Wiz str]],-1,0)+0.04+ROUNDDOWN(10*OFFSET(TblMili[[#This Row],[WG''s]],-1,0),0)+ tech_2_7*OFFSET(TblTech[[#This Row],[2-7]],-1,0) + tech_5_6*OFFSET(TblTech[[#This Row],[5-6]],-1,0) )-TblMagic[[#This Row],[Wiz str cost]]</f>
        <v>0.95</v>
      </c>
      <c r="E41" s="205">
        <f ca="1">OFFSET(TblMagic[[#This Row],[Time]],-1,0)+1/24</f>
        <v>44406.291666666577</v>
      </c>
      <c r="F41" s="202">
        <f ca="1">TblImps[[#This Row],[Population]]</f>
        <v>0.72389043503735173</v>
      </c>
      <c r="G41" s="284"/>
      <c r="H41" s="284"/>
      <c r="I41" s="284"/>
      <c r="J41" s="284"/>
      <c r="K41" s="525">
        <v>1</v>
      </c>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1085</v>
      </c>
      <c r="X41" s="202">
        <f>SUMIF(TblMagic[[#This Row],[Gaia''s Watch]:[Useless spell]],1)*0.05</f>
        <v>0.05</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2</v>
      </c>
      <c r="AD41" s="141">
        <f ca="1">IF(TblMagic[[#This Row],[Harmony]],12,IF(OFFSET(TblMagic[[#This Row],[Active Harmony]],-1,0)&gt;0,OFFSET(TblMagic[[#This Row],[Active Harmony]],-1,0)-1,0))</f>
        <v>12</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454</v>
      </c>
      <c r="C42" s="113">
        <f ca="1">TblProd[[#This Row],[Mana]]</f>
        <v>4878</v>
      </c>
      <c r="D42" s="202">
        <f ca="1">MIN(1,OFFSET(TblMagic[[#This Row],[Wiz str]],-1,0)+0.04+ROUNDDOWN(10*OFFSET(TblMili[[#This Row],[WG''s]],-1,0),0)+ tech_2_7*OFFSET(TblTech[[#This Row],[2-7]],-1,0) + tech_5_6*OFFSET(TblTech[[#This Row],[5-6]],-1,0) )-TblMagic[[#This Row],[Wiz str cost]]</f>
        <v>0.99</v>
      </c>
      <c r="E42" s="205">
        <f ca="1">OFFSET(TblMagic[[#This Row],[Time]],-1,0)+1/24</f>
        <v>44406.333333333241</v>
      </c>
      <c r="F42" s="202">
        <f ca="1">TblImps[[#This Row],[Population]]</f>
        <v>0.75552951516039257</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1</v>
      </c>
      <c r="AD42" s="141">
        <f ca="1">IF(TblMagic[[#This Row],[Harmony]],12,IF(OFFSET(TblMagic[[#This Row],[Active Harmony]],-1,0)&gt;0,OFFSET(TblMagic[[#This Row],[Active Harmony]],-1,0)-1,0))</f>
        <v>11</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454</v>
      </c>
      <c r="C43" s="113">
        <f ca="1">TblProd[[#This Row],[Mana]]</f>
        <v>4020</v>
      </c>
      <c r="D43" s="202">
        <f ca="1">MIN(1,OFFSET(TblMagic[[#This Row],[Wiz str]],-1,0)+0.04+ROUNDDOWN(10*OFFSET(TblMili[[#This Row],[WG''s]],-1,0),0)+ tech_2_7*OFFSET(TblTech[[#This Row],[2-7]],-1,0) + tech_5_6*OFFSET(TblTech[[#This Row],[5-6]],-1,0) )-TblMagic[[#This Row],[Wiz str cost]]</f>
        <v>0.95</v>
      </c>
      <c r="E43" s="205">
        <f ca="1">OFFSET(TblMagic[[#This Row],[Time]],-1,0)+1/24</f>
        <v>44406.374999999905</v>
      </c>
      <c r="F43" s="202">
        <f ca="1">TblImps[[#This Row],[Population]]</f>
        <v>0.78294126136527642</v>
      </c>
      <c r="G43" s="284"/>
      <c r="H43" s="284"/>
      <c r="I43" s="284"/>
      <c r="J43" s="284">
        <v>1</v>
      </c>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1135</v>
      </c>
      <c r="X43" s="202">
        <f>SUMIF(TblMagic[[#This Row],[Gaia''s Watch]:[Useless spell]],1)*0.05</f>
        <v>0.05</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12</v>
      </c>
      <c r="AD43" s="141">
        <f ca="1">IF(TblMagic[[#This Row],[Harmony]],12,IF(OFFSET(TblMagic[[#This Row],[Active Harmony]],-1,0)&gt;0,OFFSET(TblMagic[[#This Row],[Active Harmony]],-1,0)-1,0))</f>
        <v>10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454</v>
      </c>
      <c r="C44" s="113">
        <f ca="1">TblProd[[#This Row],[Mana]]</f>
        <v>4315</v>
      </c>
      <c r="D44" s="202">
        <f ca="1">MIN(1,OFFSET(TblMagic[[#This Row],[Wiz str]],-1,0)+0.04+ROUNDDOWN(10*OFFSET(TblMili[[#This Row],[WG''s]],-1,0),0)+ tech_2_7*OFFSET(TblTech[[#This Row],[2-7]],-1,0) + tech_5_6*OFFSET(TblTech[[#This Row],[5-6]],-1,0) )-TblMagic[[#This Row],[Wiz str cost]]</f>
        <v>0.99</v>
      </c>
      <c r="E44" s="205">
        <f ca="1">OFFSET(TblMagic[[#This Row],[Time]],-1,0)+1/24</f>
        <v>44406.41666666657</v>
      </c>
      <c r="F44" s="202">
        <f ca="1">TblImps[[#This Row],[Population]]</f>
        <v>0.79955144379029996</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11</v>
      </c>
      <c r="AD44" s="141">
        <f ca="1">IF(TblMagic[[#This Row],[Harmony]],12,IF(OFFSET(TblMagic[[#This Row],[Active Harmony]],-1,0)&gt;0,OFFSET(TblMagic[[#This Row],[Active Harmony]],-1,0)-1,0))</f>
        <v>9</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454</v>
      </c>
      <c r="C45" s="113">
        <f ca="1">TblProd[[#This Row],[Mana]]</f>
        <v>4604</v>
      </c>
      <c r="D45" s="202">
        <f ca="1">MIN(1,OFFSET(TblMagic[[#This Row],[Wiz str]],-1,0)+0.04+ROUNDDOWN(10*OFFSET(TblMili[[#This Row],[WG''s]],-1,0),0)+ tech_2_7*OFFSET(TblTech[[#This Row],[2-7]],-1,0) + tech_5_6*OFFSET(TblTech[[#This Row],[5-6]],-1,0) )-TblMagic[[#This Row],[Wiz str cost]]</f>
        <v>1</v>
      </c>
      <c r="E45" s="205">
        <f ca="1">OFFSET(TblMagic[[#This Row],[Time]],-1,0)+1/24</f>
        <v>44406.458333333234</v>
      </c>
      <c r="F45" s="202">
        <f ca="1">TblImps[[#This Row],[Population]]</f>
        <v>0.840201850294365</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10</v>
      </c>
      <c r="AD45" s="141">
        <f ca="1">IF(TblMagic[[#This Row],[Harmony]],12,IF(OFFSET(TblMagic[[#This Row],[Active Harmony]],-1,0)&gt;0,OFFSET(TblMagic[[#This Row],[Active Harmony]],-1,0)-1,0))</f>
        <v>8</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454</v>
      </c>
      <c r="C46" s="113">
        <f ca="1">TblProd[[#This Row],[Mana]]</f>
        <v>4887</v>
      </c>
      <c r="D46" s="202">
        <f ca="1">MIN(1,OFFSET(TblMagic[[#This Row],[Wiz str]],-1,0)+0.04+ROUNDDOWN(10*OFFSET(TblMili[[#This Row],[WG''s]],-1,0),0)+ tech_2_7*OFFSET(TblTech[[#This Row],[2-7]],-1,0) + tech_5_6*OFFSET(TblTech[[#This Row],[5-6]],-1,0) )-TblMagic[[#This Row],[Wiz str cost]]</f>
        <v>1</v>
      </c>
      <c r="E46" s="205">
        <f ca="1">OFFSET(TblMagic[[#This Row],[Time]],-1,0)+1/24</f>
        <v>44406.499999999898</v>
      </c>
      <c r="F46" s="202">
        <f ca="1">TblImps[[#This Row],[Population]]</f>
        <v>0.88267451640033645</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9</v>
      </c>
      <c r="AD46" s="141">
        <f ca="1">IF(TblMagic[[#This Row],[Harmony]],12,IF(OFFSET(TblMagic[[#This Row],[Active Harmony]],-1,0)&gt;0,OFFSET(TblMagic[[#This Row],[Active Harmony]],-1,0)-1,0))</f>
        <v>7</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454</v>
      </c>
      <c r="C47" s="113">
        <f ca="1">TblProd[[#This Row],[Mana]]</f>
        <v>5164</v>
      </c>
      <c r="D47" s="202">
        <f ca="1">MIN(1,OFFSET(TblMagic[[#This Row],[Wiz str]],-1,0)+0.04+ROUNDDOWN(10*OFFSET(TblMili[[#This Row],[WG''s]],-1,0),0)+ tech_2_7*OFFSET(TblTech[[#This Row],[2-7]],-1,0) + tech_5_6*OFFSET(TblTech[[#This Row],[5-6]],-1,0) )-TblMagic[[#This Row],[Wiz str cost]]</f>
        <v>1</v>
      </c>
      <c r="E47" s="205">
        <f ca="1">OFFSET(TblMagic[[#This Row],[Time]],-1,0)+1/24</f>
        <v>44406.541666666562</v>
      </c>
      <c r="F47" s="202">
        <f ca="1">TblImps[[#This Row],[Population]]</f>
        <v>0.92696944210821419</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8</v>
      </c>
      <c r="AD47" s="141">
        <f ca="1">IF(TblMagic[[#This Row],[Harmony]],12,IF(OFFSET(TblMagic[[#This Row],[Active Harmony]],-1,0)&gt;0,OFFSET(TblMagic[[#This Row],[Active Harmony]],-1,0)-1,0))</f>
        <v>6</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454</v>
      </c>
      <c r="C48" s="113">
        <f ca="1">TblProd[[#This Row],[Mana]]</f>
        <v>5436</v>
      </c>
      <c r="D48" s="202">
        <f ca="1">MIN(1,OFFSET(TblMagic[[#This Row],[Wiz str]],-1,0)+0.04+ROUNDDOWN(10*OFFSET(TblMili[[#This Row],[WG''s]],-1,0),0)+ tech_2_7*OFFSET(TblTech[[#This Row],[2-7]],-1,0) + tech_5_6*OFFSET(TblTech[[#This Row],[5-6]],-1,0) )-TblMagic[[#This Row],[Wiz str cost]]</f>
        <v>1</v>
      </c>
      <c r="E48" s="205">
        <f ca="1">OFFSET(TblMagic[[#This Row],[Time]],-1,0)+1/24</f>
        <v>44406.583333333227</v>
      </c>
      <c r="F48" s="202">
        <f ca="1">TblImps[[#This Row],[Population]]</f>
        <v>0.97308662741799834</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7</v>
      </c>
      <c r="AD48" s="141">
        <f ca="1">IF(TblMagic[[#This Row],[Harmony]],12,IF(OFFSET(TblMagic[[#This Row],[Active Harmony]],-1,0)&gt;0,OFFSET(TblMagic[[#This Row],[Active Harmony]],-1,0)-1,0))</f>
        <v>5</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454</v>
      </c>
      <c r="C49" s="113">
        <f ca="1">TblProd[[#This Row],[Mana]]</f>
        <v>5702</v>
      </c>
      <c r="D49" s="202">
        <f ca="1">MIN(1,OFFSET(TblMagic[[#This Row],[Wiz str]],-1,0)+0.04+ROUNDDOWN(10*OFFSET(TblMili[[#This Row],[WG''s]],-1,0),0)+ tech_2_7*OFFSET(TblTech[[#This Row],[2-7]],-1,0) + tech_5_6*OFFSET(TblTech[[#This Row],[5-6]],-1,0) )-TblMagic[[#This Row],[Wiz str cost]]</f>
        <v>1</v>
      </c>
      <c r="E49" s="205">
        <f ca="1">OFFSET(TblMagic[[#This Row],[Time]],-1,0)+1/24</f>
        <v>44406.624999999891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6</v>
      </c>
      <c r="AD49" s="141">
        <f ca="1">IF(TblMagic[[#This Row],[Harmony]],12,IF(OFFSET(TblMagic[[#This Row],[Active Harmony]],-1,0)&gt;0,OFFSET(TblMagic[[#This Row],[Active Harmony]],-1,0)-1,0))</f>
        <v>4</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550</v>
      </c>
      <c r="C50" s="113">
        <f ca="1">TblProd[[#This Row],[Mana]]</f>
        <v>5963</v>
      </c>
      <c r="D50" s="202">
        <f ca="1">MIN(1,OFFSET(TblMagic[[#This Row],[Wiz str]],-1,0)+0.04+ROUNDDOWN(10*OFFSET(TblMili[[#This Row],[WG''s]],-1,0),0)+ tech_2_7*OFFSET(TblTech[[#This Row],[2-7]],-1,0) + tech_5_6*OFFSET(TblTech[[#This Row],[5-6]],-1,0) )-TblMagic[[#This Row],[Wiz str cost]]</f>
        <v>1</v>
      </c>
      <c r="E50" s="205">
        <f ca="1">OFFSET(TblMagic[[#This Row],[Time]],-1,0)+1/24</f>
        <v>44406.666666666555</v>
      </c>
      <c r="F50" s="202">
        <f ca="1">TblImps[[#This Row],[Population]]</f>
        <v>0.98006818777865201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5</v>
      </c>
      <c r="AD50" s="141">
        <f ca="1">IF(TblMagic[[#This Row],[Harmony]],12,IF(OFFSET(TblMagic[[#This Row],[Active Harmony]],-1,0)&gt;0,OFFSET(TblMagic[[#This Row],[Active Harmony]],-1,0)-1,0))</f>
        <v>3</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557</v>
      </c>
      <c r="C51" s="113">
        <f ca="1">TblProd[[#This Row],[Mana]]</f>
        <v>6219</v>
      </c>
      <c r="D51" s="202">
        <f ca="1">MIN(1,OFFSET(TblMagic[[#This Row],[Wiz str]],-1,0)+0.04+ROUNDDOWN(10*OFFSET(TblMili[[#This Row],[WG''s]],-1,0),0)+ tech_2_7*OFFSET(TblTech[[#This Row],[2-7]],-1,0) + tech_5_6*OFFSET(TblTech[[#This Row],[5-6]],-1,0) )-TblMagic[[#This Row],[Wiz str cost]]</f>
        <v>1</v>
      </c>
      <c r="E51" s="205">
        <f ca="1">OFFSET(TblMagic[[#This Row],[Time]],-1,0)+1/24</f>
        <v>44406.708333333219</v>
      </c>
      <c r="F51" s="202">
        <f ca="1">TblImps[[#This Row],[Population]]</f>
        <v>0.9053897756187832</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4</v>
      </c>
      <c r="AD51" s="141">
        <f ca="1">IF(TblMagic[[#This Row],[Harmony]],12,IF(OFFSET(TblMagic[[#This Row],[Active Harmony]],-1,0)&gt;0,OFFSET(TblMagic[[#This Row],[Active Harmony]],-1,0)-1,0))</f>
        <v>2</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585</v>
      </c>
      <c r="C52" s="113">
        <f ca="1">TblProd[[#This Row],[Mana]]</f>
        <v>6470</v>
      </c>
      <c r="D52" s="202">
        <f ca="1">MIN(1,OFFSET(TblMagic[[#This Row],[Wiz str]],-1,0)+0.04+ROUNDDOWN(10*OFFSET(TblMili[[#This Row],[WG''s]],-1,0),0)+ tech_2_7*OFFSET(TblTech[[#This Row],[2-7]],-1,0) + tech_5_6*OFFSET(TblTech[[#This Row],[5-6]],-1,0) )-TblMagic[[#This Row],[Wiz str cost]]</f>
        <v>1</v>
      </c>
      <c r="E52" s="205">
        <f ca="1">OFFSET(TblMagic[[#This Row],[Time]],-1,0)+1/24</f>
        <v>44406.749999999884</v>
      </c>
      <c r="F52" s="202">
        <f ca="1">TblImps[[#This Row],[Population]]</f>
        <v>0.93572325607946116</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3</v>
      </c>
      <c r="AD52" s="141">
        <f ca="1">IF(TblMagic[[#This Row],[Harmony]],12,IF(OFFSET(TblMagic[[#This Row],[Active Harmony]],-1,0)&gt;0,OFFSET(TblMagic[[#This Row],[Active Harmony]],-1,0)-1,0))</f>
        <v>1</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593</v>
      </c>
      <c r="C53" s="113">
        <f ca="1">TblProd[[#This Row],[Mana]]</f>
        <v>5233.5</v>
      </c>
      <c r="D53" s="202">
        <f ca="1">MIN(1,OFFSET(TblMagic[[#This Row],[Wiz str]],-1,0)+0.04+ROUNDDOWN(10*OFFSET(TblMili[[#This Row],[WG''s]],-1,0),0)+ tech_2_7*OFFSET(TblTech[[#This Row],[2-7]],-1,0) + tech_5_6*OFFSET(TblTech[[#This Row],[5-6]],-1,0) )-TblMagic[[#This Row],[Wiz str cost]]</f>
        <v>0.95</v>
      </c>
      <c r="E53" s="205">
        <f ca="1">OFFSET(TblMagic[[#This Row],[Time]],-1,0)+1/24</f>
        <v>44406.791666666548</v>
      </c>
      <c r="F53" s="202">
        <f ca="1">TblImps[[#This Row],[Population]]</f>
        <v>0.93339862879529878</v>
      </c>
      <c r="G53" s="284"/>
      <c r="H53" s="284"/>
      <c r="I53" s="284"/>
      <c r="J53" s="284"/>
      <c r="K53" s="525">
        <v>1</v>
      </c>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1482.5</v>
      </c>
      <c r="X53" s="202">
        <f>SUMIF(TblMagic[[#This Row],[Gaia''s Watch]:[Useless spell]],1)*0.05</f>
        <v>0.05</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2</v>
      </c>
      <c r="AD53" s="141">
        <f ca="1">IF(TblMagic[[#This Row],[Harmony]],12,IF(OFFSET(TblMagic[[#This Row],[Active Harmony]],-1,0)&gt;0,OFFSET(TblMagic[[#This Row],[Active Harmony]],-1,0)-1,0))</f>
        <v>12</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600</v>
      </c>
      <c r="C54" s="113">
        <f ca="1">TblProd[[#This Row],[Mana]]</f>
        <v>5503.5</v>
      </c>
      <c r="D54" s="202">
        <f ca="1">MIN(1,OFFSET(TblMagic[[#This Row],[Wiz str]],-1,0)+0.04+ROUNDDOWN(10*OFFSET(TblMili[[#This Row],[WG''s]],-1,0),0)+ tech_2_7*OFFSET(TblTech[[#This Row],[2-7]],-1,0) + tech_5_6*OFFSET(TblTech[[#This Row],[5-6]],-1,0) )-TblMagic[[#This Row],[Wiz str cost]]</f>
        <v>0.99</v>
      </c>
      <c r="E54" s="205">
        <f ca="1">OFFSET(TblMagic[[#This Row],[Time]],-1,0)+1/24</f>
        <v>44406.833333333212</v>
      </c>
      <c r="F54" s="202">
        <f ca="1">TblImps[[#This Row],[Population]]</f>
        <v>0.96400558719243579</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1</v>
      </c>
      <c r="AD54" s="141">
        <f ca="1">IF(TblMagic[[#This Row],[Harmony]],12,IF(OFFSET(TblMagic[[#This Row],[Active Harmony]],-1,0)&gt;0,OFFSET(TblMagic[[#This Row],[Active Harmony]],-1,0)-1,0))</f>
        <v>11</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600</v>
      </c>
      <c r="C55" s="113">
        <f ca="1">TblProd[[#This Row],[Mana]]</f>
        <v>4268.5</v>
      </c>
      <c r="D55" s="202">
        <f ca="1">MIN(1,OFFSET(TblMagic[[#This Row],[Wiz str]],-1,0)+0.04+ROUNDDOWN(10*OFFSET(TblMili[[#This Row],[WG''s]],-1,0),0)+ tech_2_7*OFFSET(TblTech[[#This Row],[2-7]],-1,0) + tech_5_6*OFFSET(TblTech[[#This Row],[5-6]],-1,0) )-TblMagic[[#This Row],[Wiz str cost]]</f>
        <v>0.95</v>
      </c>
      <c r="E55" s="205">
        <f ca="1">OFFSET(TblMagic[[#This Row],[Time]],-1,0)+1/24</f>
        <v>44406.874999999876</v>
      </c>
      <c r="F55" s="202">
        <f ca="1">TblImps[[#This Row],[Population]]</f>
        <v>1</v>
      </c>
      <c r="G55" s="284"/>
      <c r="H55" s="284"/>
      <c r="I55" s="284"/>
      <c r="J55" s="284">
        <v>1</v>
      </c>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1500</v>
      </c>
      <c r="X55" s="202">
        <f>SUMIF(TblMagic[[#This Row],[Gaia''s Watch]:[Useless spell]],1)*0.05</f>
        <v>0.05</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12</v>
      </c>
      <c r="AD55" s="141">
        <f ca="1">IF(TblMagic[[#This Row],[Harmony]],12,IF(OFFSET(TblMagic[[#This Row],[Active Harmony]],-1,0)&gt;0,OFFSET(TblMagic[[#This Row],[Active Harmony]],-1,0)-1,0))</f>
        <v>10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600</v>
      </c>
      <c r="C56" s="113">
        <f ca="1">TblProd[[#This Row],[Mana]]</f>
        <v>4558.5</v>
      </c>
      <c r="D56" s="202">
        <f ca="1">MIN(1,OFFSET(TblMagic[[#This Row],[Wiz str]],-1,0)+0.04+ROUNDDOWN(10*OFFSET(TblMili[[#This Row],[WG''s]],-1,0),0)+ tech_2_7*OFFSET(TblTech[[#This Row],[2-7]],-1,0) + tech_5_6*OFFSET(TblTech[[#This Row],[5-6]],-1,0) )-TblMagic[[#This Row],[Wiz str cost]]</f>
        <v>0.99</v>
      </c>
      <c r="E56" s="205">
        <f ca="1">OFFSET(TblMagic[[#This Row],[Time]],-1,0)+1/24</f>
        <v>44406.916666666541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11</v>
      </c>
      <c r="AD56" s="141">
        <f ca="1">IF(TblMagic[[#This Row],[Harmony]],12,IF(OFFSET(TblMagic[[#This Row],[Active Harmony]],-1,0)&gt;0,OFFSET(TblMagic[[#This Row],[Active Harmony]],-1,0)-1,0))</f>
        <v>9</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600</v>
      </c>
      <c r="C57" s="113">
        <f ca="1">TblProd[[#This Row],[Mana]]</f>
        <v>4842.5</v>
      </c>
      <c r="D57" s="202">
        <f ca="1">MIN(1,OFFSET(TblMagic[[#This Row],[Wiz str]],-1,0)+0.04+ROUNDDOWN(10*OFFSET(TblMili[[#This Row],[WG''s]],-1,0),0)+ tech_2_7*OFFSET(TblTech[[#This Row],[2-7]],-1,0) + tech_5_6*OFFSET(TblTech[[#This Row],[5-6]],-1,0) )-TblMagic[[#This Row],[Wiz str cost]]</f>
        <v>1</v>
      </c>
      <c r="E57" s="205">
        <f ca="1">OFFSET(TblMagic[[#This Row],[Time]],-1,0)+1/24</f>
        <v>44406.958333333205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10</v>
      </c>
      <c r="AD57" s="141">
        <f ca="1">IF(TblMagic[[#This Row],[Harmony]],12,IF(OFFSET(TblMagic[[#This Row],[Active Harmony]],-1,0)&gt;0,OFFSET(TblMagic[[#This Row],[Active Harmony]],-1,0)-1,0))</f>
        <v>8</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600</v>
      </c>
      <c r="C58" s="113">
        <f ca="1">TblProd[[#This Row],[Mana]]</f>
        <v>5120.5</v>
      </c>
      <c r="D58" s="202">
        <f ca="1">MIN(1,OFFSET(TblMagic[[#This Row],[Wiz str]],-1,0)+0.04+ROUNDDOWN(10*OFFSET(TblMili[[#This Row],[WG''s]],-1,0),0)+ tech_2_7*OFFSET(TblTech[[#This Row],[2-7]],-1,0) + tech_5_6*OFFSET(TblTech[[#This Row],[5-6]],-1,0) )-TblMagic[[#This Row],[Wiz str cost]]</f>
        <v>1</v>
      </c>
      <c r="E58" s="205">
        <f ca="1">OFFSET(TblMagic[[#This Row],[Time]],-1,0)+1/24</f>
        <v>44406.999999999869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9</v>
      </c>
      <c r="AD58" s="141">
        <f ca="1">IF(TblMagic[[#This Row],[Harmony]],12,IF(OFFSET(TblMagic[[#This Row],[Active Harmony]],-1,0)&gt;0,OFFSET(TblMagic[[#This Row],[Active Harmony]],-1,0)-1,0))</f>
        <v>7</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600</v>
      </c>
      <c r="C59" s="113">
        <f ca="1">TblProd[[#This Row],[Mana]]</f>
        <v>5393.5</v>
      </c>
      <c r="D59" s="202">
        <f ca="1">MIN(1,OFFSET(TblMagic[[#This Row],[Wiz str]],-1,0)+0.04+ROUNDDOWN(10*OFFSET(TblMili[[#This Row],[WG''s]],-1,0),0)+ tech_2_7*OFFSET(TblTech[[#This Row],[2-7]],-1,0) + tech_5_6*OFFSET(TblTech[[#This Row],[5-6]],-1,0) )-TblMagic[[#This Row],[Wiz str cost]]</f>
        <v>1</v>
      </c>
      <c r="E59" s="205">
        <f ca="1">OFFSET(TblMagic[[#This Row],[Time]],-1,0)+1/24</f>
        <v>44407.041666666533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8</v>
      </c>
      <c r="AD59" s="141">
        <f ca="1">IF(TblMagic[[#This Row],[Harmony]],12,IF(OFFSET(TblMagic[[#This Row],[Active Harmony]],-1,0)&gt;0,OFFSET(TblMagic[[#This Row],[Active Harmony]],-1,0)-1,0))</f>
        <v>6</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600</v>
      </c>
      <c r="C60" s="113">
        <f ca="1">TblProd[[#This Row],[Mana]]</f>
        <v>5660.5</v>
      </c>
      <c r="D60" s="202">
        <f ca="1">MIN(1,OFFSET(TblMagic[[#This Row],[Wiz str]],-1,0)+0.04+ROUNDDOWN(10*OFFSET(TblMili[[#This Row],[WG''s]],-1,0),0)+ tech_2_7*OFFSET(TblTech[[#This Row],[2-7]],-1,0) + tech_5_6*OFFSET(TblTech[[#This Row],[5-6]],-1,0) )-TblMagic[[#This Row],[Wiz str cost]]</f>
        <v>1</v>
      </c>
      <c r="E60" s="205">
        <f ca="1">OFFSET(TblMagic[[#This Row],[Time]],-1,0)+1/24</f>
        <v>44407.083333333198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7</v>
      </c>
      <c r="AD60" s="141">
        <f ca="1">IF(TblMagic[[#This Row],[Harmony]],12,IF(OFFSET(TblMagic[[#This Row],[Active Harmony]],-1,0)&gt;0,OFFSET(TblMagic[[#This Row],[Active Harmony]],-1,0)-1,0))</f>
        <v>5</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600</v>
      </c>
      <c r="C61" s="113">
        <f ca="1">TblProd[[#This Row],[Mana]]</f>
        <v>5922.5</v>
      </c>
      <c r="D61" s="202">
        <f ca="1">MIN(1,OFFSET(TblMagic[[#This Row],[Wiz str]],-1,0)+0.04+ROUNDDOWN(10*OFFSET(TblMili[[#This Row],[WG''s]],-1,0),0)+ tech_2_7*OFFSET(TblTech[[#This Row],[2-7]],-1,0) + tech_5_6*OFFSET(TblTech[[#This Row],[5-6]],-1,0) )-TblMagic[[#This Row],[Wiz str cost]]</f>
        <v>1</v>
      </c>
      <c r="E61" s="205">
        <f ca="1">OFFSET(TblMagic[[#This Row],[Time]],-1,0)+1/24</f>
        <v>44407.124999999862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6</v>
      </c>
      <c r="AD61" s="141">
        <f ca="1">IF(TblMagic[[#This Row],[Harmony]],12,IF(OFFSET(TblMagic[[#This Row],[Active Harmony]],-1,0)&gt;0,OFFSET(TblMagic[[#This Row],[Active Harmony]],-1,0)-1,0))</f>
        <v>4</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600</v>
      </c>
      <c r="C62" s="113">
        <f ca="1">TblProd[[#This Row],[Mana]]</f>
        <v>6179.5</v>
      </c>
      <c r="D62" s="202">
        <f ca="1">MIN(1,OFFSET(TblMagic[[#This Row],[Wiz str]],-1,0)+0.04+ROUNDDOWN(10*OFFSET(TblMili[[#This Row],[WG''s]],-1,0),0)+ tech_2_7*OFFSET(TblTech[[#This Row],[2-7]],-1,0) + tech_5_6*OFFSET(TblTech[[#This Row],[5-6]],-1,0) )-TblMagic[[#This Row],[Wiz str cost]]</f>
        <v>1</v>
      </c>
      <c r="E62" s="205">
        <f ca="1">OFFSET(TblMagic[[#This Row],[Time]],-1,0)+1/24</f>
        <v>44407.166666666526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5</v>
      </c>
      <c r="AD62" s="141">
        <f ca="1">IF(TblMagic[[#This Row],[Harmony]],12,IF(OFFSET(TblMagic[[#This Row],[Active Harmony]],-1,0)&gt;0,OFFSET(TblMagic[[#This Row],[Active Harmony]],-1,0)-1,0))</f>
        <v>3</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600</v>
      </c>
      <c r="C63" s="113">
        <f ca="1">TblProd[[#This Row],[Mana]]</f>
        <v>6430.5</v>
      </c>
      <c r="D63" s="202">
        <f ca="1">MIN(1,OFFSET(TblMagic[[#This Row],[Wiz str]],-1,0)+0.04+ROUNDDOWN(10*OFFSET(TblMili[[#This Row],[WG''s]],-1,0),0)+ tech_2_7*OFFSET(TblTech[[#This Row],[2-7]],-1,0) + tech_5_6*OFFSET(TblTech[[#This Row],[5-6]],-1,0) )-TblMagic[[#This Row],[Wiz str cost]]</f>
        <v>1</v>
      </c>
      <c r="E63" s="205">
        <f ca="1">OFFSET(TblMagic[[#This Row],[Time]],-1,0)+1/24</f>
        <v>44407.20833333319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4</v>
      </c>
      <c r="AD63" s="141">
        <f ca="1">IF(TblMagic[[#This Row],[Harmony]],12,IF(OFFSET(TblMagic[[#This Row],[Active Harmony]],-1,0)&gt;0,OFFSET(TblMagic[[#This Row],[Active Harmony]],-1,0)-1,0))</f>
        <v>2</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600</v>
      </c>
      <c r="C64" s="113">
        <f ca="1">TblProd[[#This Row],[Mana]]</f>
        <v>6676.5</v>
      </c>
      <c r="D64" s="202">
        <f ca="1">MIN(1,OFFSET(TblMagic[[#This Row],[Wiz str]],-1,0)+0.04+ROUNDDOWN(10*OFFSET(TblMili[[#This Row],[WG''s]],-1,0),0)+ tech_2_7*OFFSET(TblTech[[#This Row],[2-7]],-1,0) + tech_5_6*OFFSET(TblTech[[#This Row],[5-6]],-1,0) )-TblMagic[[#This Row],[Wiz str cost]]</f>
        <v>1</v>
      </c>
      <c r="E64" s="205">
        <f ca="1">OFFSET(TblMagic[[#This Row],[Time]],-1,0)+1/24</f>
        <v>44407.249999999854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3</v>
      </c>
      <c r="AD64" s="141">
        <f ca="1">IF(TblMagic[[#This Row],[Harmony]],12,IF(OFFSET(TblMagic[[#This Row],[Active Harmony]],-1,0)&gt;0,OFFSET(TblMagic[[#This Row],[Active Harmony]],-1,0)-1,0))</f>
        <v>1</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600</v>
      </c>
      <c r="C65" s="113">
        <f ca="1">TblProd[[#This Row],[Mana]]</f>
        <v>6917.5</v>
      </c>
      <c r="D65" s="202">
        <f ca="1">MIN(1,OFFSET(TblMagic[[#This Row],[Wiz str]],-1,0)+0.04+ROUNDDOWN(10*OFFSET(TblMili[[#This Row],[WG''s]],-1,0),0)+ tech_2_7*OFFSET(TblTech[[#This Row],[2-7]],-1,0) + tech_5_6*OFFSET(TblTech[[#This Row],[5-6]],-1,0) )-TblMagic[[#This Row],[Wiz str cost]]</f>
        <v>1</v>
      </c>
      <c r="E65" s="205">
        <f ca="1">OFFSET(TblMagic[[#This Row],[Time]],-1,0)+1/24</f>
        <v>44407.291666666519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2</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600</v>
      </c>
      <c r="C66" s="113">
        <f ca="1">TblProd[[#This Row],[Mana]]</f>
        <v>7154.5</v>
      </c>
      <c r="D66" s="202">
        <f ca="1">MIN(1,OFFSET(TblMagic[[#This Row],[Wiz str]],-1,0)+0.04+ROUNDDOWN(10*OFFSET(TblMili[[#This Row],[WG''s]],-1,0),0)+ tech_2_7*OFFSET(TblTech[[#This Row],[2-7]],-1,0) + tech_5_6*OFFSET(TblTech[[#This Row],[5-6]],-1,0) )-TblMagic[[#This Row],[Wiz str cost]]</f>
        <v>1</v>
      </c>
      <c r="E66" s="205">
        <f ca="1">OFFSET(TblMagic[[#This Row],[Time]],-1,0)+1/24</f>
        <v>44407.333333333183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1</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600</v>
      </c>
      <c r="C67" s="113">
        <f ca="1">TblProd[[#This Row],[Mana]]</f>
        <v>5886.5</v>
      </c>
      <c r="D67" s="202">
        <f ca="1">MIN(1,OFFSET(TblMagic[[#This Row],[Wiz str]],-1,0)+0.04+ROUNDDOWN(10*OFFSET(TblMili[[#This Row],[WG''s]],-1,0),0)+ tech_2_7*OFFSET(TblTech[[#This Row],[2-7]],-1,0) + tech_5_6*OFFSET(TblTech[[#This Row],[5-6]],-1,0) )-TblMagic[[#This Row],[Wiz str cost]]</f>
        <v>0.95</v>
      </c>
      <c r="E67" s="205">
        <f ca="1">OFFSET(TblMagic[[#This Row],[Time]],-1,0)+1/24</f>
        <v>44407.374999999847</v>
      </c>
      <c r="F67" s="202">
        <f ca="1">TblImps[[#This Row],[Population]]</f>
        <v>1</v>
      </c>
      <c r="G67" s="284"/>
      <c r="H67" s="284"/>
      <c r="I67" s="284"/>
      <c r="J67" s="284">
        <v>1</v>
      </c>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1500</v>
      </c>
      <c r="X67" s="202">
        <f>SUMIF(TblMagic[[#This Row],[Gaia''s Watch]:[Useless spell]],1)*0.05</f>
        <v>0.05</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12</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600</v>
      </c>
      <c r="C68" s="113">
        <f ca="1">TblProd[[#This Row],[Mana]]</f>
        <v>6143.5</v>
      </c>
      <c r="D68" s="202">
        <f ca="1">MIN(1,OFFSET(TblMagic[[#This Row],[Wiz str]],-1,0)+0.04+ROUNDDOWN(10*OFFSET(TblMili[[#This Row],[WG''s]],-1,0),0)+ tech_2_7*OFFSET(TblTech[[#This Row],[2-7]],-1,0) + tech_5_6*OFFSET(TblTech[[#This Row],[5-6]],-1,0) )-TblMagic[[#This Row],[Wiz str cost]]</f>
        <v>0.99</v>
      </c>
      <c r="E68" s="205">
        <f ca="1">OFFSET(TblMagic[[#This Row],[Time]],-1,0)+1/24</f>
        <v>44407.416666666511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11</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600</v>
      </c>
      <c r="C69" s="113">
        <f ca="1">TblProd[[#This Row],[Mana]]</f>
        <v>6395.5</v>
      </c>
      <c r="D69" s="202">
        <f ca="1">MIN(1,OFFSET(TblMagic[[#This Row],[Wiz str]],-1,0)+0.04+ROUNDDOWN(10*OFFSET(TblMili[[#This Row],[WG''s]],-1,0),0)+ tech_2_7*OFFSET(TblTech[[#This Row],[2-7]],-1,0) + tech_5_6*OFFSET(TblTech[[#This Row],[5-6]],-1,0) )-TblMagic[[#This Row],[Wiz str cost]]</f>
        <v>1</v>
      </c>
      <c r="E69" s="205">
        <f ca="1">OFFSET(TblMagic[[#This Row],[Time]],-1,0)+1/24</f>
        <v>44407.458333333176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10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600</v>
      </c>
      <c r="C70" s="113">
        <f ca="1">TblProd[[#This Row],[Mana]]</f>
        <v>6642.5</v>
      </c>
      <c r="D70" s="202">
        <f ca="1">MIN(1,OFFSET(TblMagic[[#This Row],[Wiz str]],-1,0)+0.04+ROUNDDOWN(10*OFFSET(TblMili[[#This Row],[WG''s]],-1,0),0)+ tech_2_7*OFFSET(TblTech[[#This Row],[2-7]],-1,0) + tech_5_6*OFFSET(TblTech[[#This Row],[5-6]],-1,0) )-TblMagic[[#This Row],[Wiz str cost]]</f>
        <v>1</v>
      </c>
      <c r="E70" s="205">
        <f ca="1">OFFSET(TblMagic[[#This Row],[Time]],-1,0)+1/24</f>
        <v>44407.49999999984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9</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600</v>
      </c>
      <c r="C71" s="113">
        <f ca="1">TblProd[[#This Row],[Mana]]</f>
        <v>6884.5</v>
      </c>
      <c r="D71" s="202">
        <f ca="1">MIN(1,OFFSET(TblMagic[[#This Row],[Wiz str]],-1,0)+0.04+ROUNDDOWN(10*OFFSET(TblMili[[#This Row],[WG''s]],-1,0),0)+ tech_2_7*OFFSET(TblTech[[#This Row],[2-7]],-1,0) + tech_5_6*OFFSET(TblTech[[#This Row],[5-6]],-1,0) )-TblMagic[[#This Row],[Wiz str cost]]</f>
        <v>1</v>
      </c>
      <c r="E71" s="205">
        <f ca="1">OFFSET(TblMagic[[#This Row],[Time]],-1,0)+1/24</f>
        <v>44407.541666666504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8</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600</v>
      </c>
      <c r="C72" s="113">
        <f ca="1">TblProd[[#This Row],[Mana]]</f>
        <v>7121.5</v>
      </c>
      <c r="D72" s="202">
        <f ca="1">MIN(1,OFFSET(TblMagic[[#This Row],[Wiz str]],-1,0)+0.04+ROUNDDOWN(10*OFFSET(TblMili[[#This Row],[WG''s]],-1,0),0)+ tech_2_7*OFFSET(TblTech[[#This Row],[2-7]],-1,0) + tech_5_6*OFFSET(TblTech[[#This Row],[5-6]],-1,0) )-TblMagic[[#This Row],[Wiz str cost]]</f>
        <v>1</v>
      </c>
      <c r="E72" s="205">
        <f ca="1">OFFSET(TblMagic[[#This Row],[Time]],-1,0)+1/24</f>
        <v>44407.583333333168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7</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600</v>
      </c>
      <c r="C73" s="113">
        <f ca="1">TblProd[[#This Row],[Mana]]</f>
        <v>7354.5</v>
      </c>
      <c r="D73" s="202">
        <f ca="1">MIN(1,OFFSET(TblMagic[[#This Row],[Wiz str]],-1,0)+0.04+ROUNDDOWN(10*OFFSET(TblMili[[#This Row],[WG''s]],-1,0),0)+ tech_2_7*OFFSET(TblTech[[#This Row],[2-7]],-1,0) + tech_5_6*OFFSET(TblTech[[#This Row],[5-6]],-1,0) )-TblMagic[[#This Row],[Wiz str cost]]</f>
        <v>1</v>
      </c>
      <c r="E73" s="205">
        <f ca="1">OFFSET(TblMagic[[#This Row],[Time]],-1,0)+1/24</f>
        <v>44407.624999999833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6</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600</v>
      </c>
      <c r="C74" s="113">
        <f ca="1">TblProd[[#This Row],[Mana]]</f>
        <v>7582.5</v>
      </c>
      <c r="D74" s="202">
        <f ca="1">MIN(1,OFFSET(TblMagic[[#This Row],[Wiz str]],-1,0)+0.04+ROUNDDOWN(10*OFFSET(TblMili[[#This Row],[WG''s]],-1,0),0)+ tech_2_7*OFFSET(TblTech[[#This Row],[2-7]],-1,0) + tech_5_6*OFFSET(TblTech[[#This Row],[5-6]],-1,0) )-TblMagic[[#This Row],[Wiz str cost]]</f>
        <v>1</v>
      </c>
      <c r="E74" s="205">
        <f ca="1">OFFSET(TblMagic[[#This Row],[Time]],-1,0)+1/24</f>
        <v>44407.666666666497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5</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600</v>
      </c>
      <c r="C75" s="113">
        <f ca="1">TblProd[[#This Row],[Mana]]</f>
        <v>7805.5</v>
      </c>
      <c r="D75" s="202">
        <f ca="1">MIN(1,OFFSET(TblMagic[[#This Row],[Wiz str]],-1,0)+0.04+ROUNDDOWN(10*OFFSET(TblMili[[#This Row],[WG''s]],-1,0),0)+ tech_2_7*OFFSET(TblTech[[#This Row],[2-7]],-1,0) + tech_5_6*OFFSET(TblTech[[#This Row],[5-6]],-1,0) )-TblMagic[[#This Row],[Wiz str cost]]</f>
        <v>1</v>
      </c>
      <c r="E75" s="205">
        <f ca="1">OFFSET(TblMagic[[#This Row],[Time]],-1,0)+1/24</f>
        <v>44407.708333333161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4</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600</v>
      </c>
      <c r="C76" s="262">
        <f ca="1">TblProd[[#This Row],[Mana]]</f>
        <v>3524.5</v>
      </c>
      <c r="D76" s="345">
        <f ca="1">MIN(1,OFFSET(TblMagic[[#This Row],[Wiz str]],-1,0)+0.04+ROUNDDOWN(10*OFFSET(TblMili[[#This Row],[WG''s]],-1,0),0)+ tech_2_7*OFFSET(TblTech[[#This Row],[2-7]],-1,0) + tech_5_6*OFFSET(TblTech[[#This Row],[5-6]],-1,0) )-TblMagic[[#This Row],[Wiz str cost]]</f>
        <v>0.9</v>
      </c>
      <c r="E76" s="269">
        <f ca="1">OFFSET(TblMagic[[#This Row],[Time]],-1,0)+1/24</f>
        <v>44407.749999999825</v>
      </c>
      <c r="F76" s="345">
        <f ca="1">TblImps[[#This Row],[Population]]</f>
        <v>1</v>
      </c>
      <c r="G76" s="301"/>
      <c r="H76" s="301"/>
      <c r="I76" s="301">
        <v>1</v>
      </c>
      <c r="J76" s="301"/>
      <c r="K76" s="526"/>
      <c r="L76" s="301"/>
      <c r="M76" s="301"/>
      <c r="N76" s="301"/>
      <c r="O76" s="301"/>
      <c r="P76" s="301"/>
      <c r="Q76" s="301"/>
      <c r="R76" s="301"/>
      <c r="S76" s="301"/>
      <c r="T76" s="301">
        <v>1</v>
      </c>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4500</v>
      </c>
      <c r="X76" s="345">
        <f>SUMIF(TblMagic[[#This Row],[Gaia''s Watch]:[Useless spell]],1)*0.05</f>
        <v>0.1</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12</v>
      </c>
      <c r="AC76" s="264">
        <f ca="1">IF(TblMagic[[#This Row],[Midas Touch]],12,IF(OFFSET(TblMagic[[#This Row],[Active Midas Touch]],-1,0)&gt;0,OFFSET(TblMagic[[#This Row],[Active Midas Touch]],-1,0)-1,0))</f>
        <v>3</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12</v>
      </c>
    </row>
    <row r="77" spans="1:39" x14ac:dyDescent="0.2">
      <c r="A77" s="178">
        <f>TblRezone[[#This Row],[Hour]]</f>
        <v>74</v>
      </c>
      <c r="B77" s="200">
        <f ca="1">TblConstr[[#This Row],[Land]]</f>
        <v>600</v>
      </c>
      <c r="C77" s="113">
        <f ca="1">TblProd[[#This Row],[Mana]]</f>
        <v>3829.5</v>
      </c>
      <c r="D77" s="202">
        <f ca="1">MIN(1,OFFSET(TblMagic[[#This Row],[Wiz str]],-1,0)+0.04+ROUNDDOWN(10*OFFSET(TblMili[[#This Row],[WG''s]],-1,0),0)+ tech_2_7*OFFSET(TblTech[[#This Row],[2-7]],-1,0) + tech_5_6*OFFSET(TblTech[[#This Row],[5-6]],-1,0) )-TblMagic[[#This Row],[Wiz str cost]]</f>
        <v>0.94000000000000006</v>
      </c>
      <c r="E77" s="205">
        <f ca="1">OFFSET(TblMagic[[#This Row],[Time]],-1,0)+1/24</f>
        <v>44407.79166666649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11</v>
      </c>
      <c r="AC77" s="141">
        <f ca="1">IF(TblMagic[[#This Row],[Midas Touch]],12,IF(OFFSET(TblMagic[[#This Row],[Active Midas Touch]],-1,0)&gt;0,OFFSET(TblMagic[[#This Row],[Active Midas Touch]],-1,0)-1,0))</f>
        <v>2</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11</v>
      </c>
    </row>
    <row r="78" spans="1:39" x14ac:dyDescent="0.2">
      <c r="A78" s="178">
        <f>TblRezone[[#This Row],[Hour]]</f>
        <v>75</v>
      </c>
      <c r="B78" s="200">
        <f ca="1">TblConstr[[#This Row],[Land]]</f>
        <v>600</v>
      </c>
      <c r="C78" s="113">
        <f ca="1">TblProd[[#This Row],[Mana]]</f>
        <v>4127.5</v>
      </c>
      <c r="D78" s="202">
        <f ca="1">MIN(1,OFFSET(TblMagic[[#This Row],[Wiz str]],-1,0)+0.04+ROUNDDOWN(10*OFFSET(TblMili[[#This Row],[WG''s]],-1,0),0)+ tech_2_7*OFFSET(TblTech[[#This Row],[2-7]],-1,0) + tech_5_6*OFFSET(TblTech[[#This Row],[5-6]],-1,0) )-TblMagic[[#This Row],[Wiz str cost]]</f>
        <v>0.98000000000000009</v>
      </c>
      <c r="E78" s="205">
        <f ca="1">OFFSET(TblMagic[[#This Row],[Time]],-1,0)+1/24</f>
        <v>44407.833333333154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10</v>
      </c>
      <c r="AC78" s="141">
        <f ca="1">IF(TblMagic[[#This Row],[Midas Touch]],12,IF(OFFSET(TblMagic[[#This Row],[Active Midas Touch]],-1,0)&gt;0,OFFSET(TblMagic[[#This Row],[Active Midas Touch]],-1,0)-1,0))</f>
        <v>1</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10</v>
      </c>
    </row>
    <row r="79" spans="1:39" x14ac:dyDescent="0.2">
      <c r="A79" s="178">
        <f>TblRezone[[#This Row],[Hour]]</f>
        <v>76</v>
      </c>
      <c r="B79" s="200">
        <f ca="1">TblConstr[[#This Row],[Land]]</f>
        <v>600</v>
      </c>
      <c r="C79" s="113">
        <f ca="1">TblProd[[#This Row],[Mana]]</f>
        <v>4419.5</v>
      </c>
      <c r="D79" s="202">
        <f ca="1">MIN(1,OFFSET(TblMagic[[#This Row],[Wiz str]],-1,0)+0.04+ROUNDDOWN(10*OFFSET(TblMili[[#This Row],[WG''s]],-1,0),0)+ tech_2_7*OFFSET(TblTech[[#This Row],[2-7]],-1,0) + tech_5_6*OFFSET(TblTech[[#This Row],[5-6]],-1,0) )-TblMagic[[#This Row],[Wiz str cost]]</f>
        <v>1</v>
      </c>
      <c r="E79" s="205">
        <f ca="1">OFFSET(TblMagic[[#This Row],[Time]],-1,0)+1/24</f>
        <v>44407.874999999818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9</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9</v>
      </c>
    </row>
    <row r="80" spans="1:39" x14ac:dyDescent="0.2">
      <c r="A80" s="178">
        <f>TblRezone[[#This Row],[Hour]]</f>
        <v>77</v>
      </c>
      <c r="B80" s="200">
        <f ca="1">TblConstr[[#This Row],[Land]]</f>
        <v>600</v>
      </c>
      <c r="C80" s="113">
        <f ca="1">TblProd[[#This Row],[Mana]]</f>
        <v>4706.5</v>
      </c>
      <c r="D80" s="202">
        <f ca="1">MIN(1,OFFSET(TblMagic[[#This Row],[Wiz str]],-1,0)+0.04+ROUNDDOWN(10*OFFSET(TblMili[[#This Row],[WG''s]],-1,0),0)+ tech_2_7*OFFSET(TblTech[[#This Row],[2-7]],-1,0) + tech_5_6*OFFSET(TblTech[[#This Row],[5-6]],-1,0) )-TblMagic[[#This Row],[Wiz str cost]]</f>
        <v>1</v>
      </c>
      <c r="E80" s="205">
        <f ca="1">OFFSET(TblMagic[[#This Row],[Time]],-1,0)+1/24</f>
        <v>44407.916666666482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8</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8</v>
      </c>
    </row>
    <row r="81" spans="1:39" x14ac:dyDescent="0.2">
      <c r="A81" s="178">
        <f>TblRezone[[#This Row],[Hour]]</f>
        <v>78</v>
      </c>
      <c r="B81" s="200">
        <f ca="1">TblConstr[[#This Row],[Land]]</f>
        <v>600</v>
      </c>
      <c r="C81" s="113">
        <f ca="1">TblProd[[#This Row],[Mana]]</f>
        <v>4987.5</v>
      </c>
      <c r="D81" s="202">
        <f ca="1">MIN(1,OFFSET(TblMagic[[#This Row],[Wiz str]],-1,0)+0.04+ROUNDDOWN(10*OFFSET(TblMili[[#This Row],[WG''s]],-1,0),0)+ tech_2_7*OFFSET(TblTech[[#This Row],[2-7]],-1,0) + tech_5_6*OFFSET(TblTech[[#This Row],[5-6]],-1,0) )-TblMagic[[#This Row],[Wiz str cost]]</f>
        <v>1</v>
      </c>
      <c r="E81" s="205">
        <f ca="1">OFFSET(TblMagic[[#This Row],[Time]],-1,0)+1/24</f>
        <v>44407.958333333147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7</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7</v>
      </c>
    </row>
    <row r="82" spans="1:39" x14ac:dyDescent="0.2">
      <c r="A82" s="178">
        <f>TblRezone[[#This Row],[Hour]]</f>
        <v>79</v>
      </c>
      <c r="B82" s="200">
        <f ca="1">TblConstr[[#This Row],[Land]]</f>
        <v>600</v>
      </c>
      <c r="C82" s="113">
        <f ca="1">TblProd[[#This Row],[Mana]]</f>
        <v>5262.5</v>
      </c>
      <c r="D82" s="202">
        <f ca="1">MIN(1,OFFSET(TblMagic[[#This Row],[Wiz str]],-1,0)+0.04+ROUNDDOWN(10*OFFSET(TblMili[[#This Row],[WG''s]],-1,0),0)+ tech_2_7*OFFSET(TblTech[[#This Row],[2-7]],-1,0) + tech_5_6*OFFSET(TblTech[[#This Row],[5-6]],-1,0) )-TblMagic[[#This Row],[Wiz str cost]]</f>
        <v>1</v>
      </c>
      <c r="E82" s="205">
        <f ca="1">OFFSET(TblMagic[[#This Row],[Time]],-1,0)+1/24</f>
        <v>44407.999999999811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6</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6</v>
      </c>
    </row>
    <row r="83" spans="1:39" x14ac:dyDescent="0.2">
      <c r="A83" s="178">
        <f>TblRezone[[#This Row],[Hour]]</f>
        <v>80</v>
      </c>
      <c r="B83" s="200">
        <f ca="1">TblConstr[[#This Row],[Land]]</f>
        <v>600</v>
      </c>
      <c r="C83" s="113">
        <f ca="1">TblProd[[#This Row],[Mana]]</f>
        <v>5532.5</v>
      </c>
      <c r="D83" s="202">
        <f ca="1">MIN(1,OFFSET(TblMagic[[#This Row],[Wiz str]],-1,0)+0.04+ROUNDDOWN(10*OFFSET(TblMili[[#This Row],[WG''s]],-1,0),0)+ tech_2_7*OFFSET(TblTech[[#This Row],[2-7]],-1,0) + tech_5_6*OFFSET(TblTech[[#This Row],[5-6]],-1,0) )-TblMagic[[#This Row],[Wiz str cost]]</f>
        <v>1</v>
      </c>
      <c r="E83" s="205">
        <f ca="1">OFFSET(TblMagic[[#This Row],[Time]],-1,0)+1/24</f>
        <v>44408.041666666475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5</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5</v>
      </c>
    </row>
    <row r="84" spans="1:39" x14ac:dyDescent="0.2">
      <c r="A84" s="178">
        <f>TblRezone[[#This Row],[Hour]]</f>
        <v>81</v>
      </c>
      <c r="B84" s="200">
        <f ca="1">TblConstr[[#This Row],[Land]]</f>
        <v>600</v>
      </c>
      <c r="C84" s="113">
        <f ca="1">TblProd[[#This Row],[Mana]]</f>
        <v>5796.5</v>
      </c>
      <c r="D84" s="202">
        <f ca="1">MIN(1,OFFSET(TblMagic[[#This Row],[Wiz str]],-1,0)+0.04+ROUNDDOWN(10*OFFSET(TblMili[[#This Row],[WG''s]],-1,0),0)+ tech_2_7*OFFSET(TblTech[[#This Row],[2-7]],-1,0) + tech_5_6*OFFSET(TblTech[[#This Row],[5-6]],-1,0) )-TblMagic[[#This Row],[Wiz str cost]]</f>
        <v>1</v>
      </c>
      <c r="E84" s="205">
        <f ca="1">OFFSET(TblMagic[[#This Row],[Time]],-1,0)+1/24</f>
        <v>44408.083333333139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4</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4</v>
      </c>
    </row>
    <row r="85" spans="1:39" x14ac:dyDescent="0.2">
      <c r="A85" s="178">
        <f>TblRezone[[#This Row],[Hour]]</f>
        <v>82</v>
      </c>
      <c r="B85" s="200">
        <f ca="1">TblConstr[[#This Row],[Land]]</f>
        <v>600</v>
      </c>
      <c r="C85" s="113">
        <f ca="1">TblProd[[#This Row],[Mana]]</f>
        <v>6055.5</v>
      </c>
      <c r="D85" s="202">
        <f ca="1">MIN(1,OFFSET(TblMagic[[#This Row],[Wiz str]],-1,0)+0.04+ROUNDDOWN(10*OFFSET(TblMili[[#This Row],[WG''s]],-1,0),0)+ tech_2_7*OFFSET(TblTech[[#This Row],[2-7]],-1,0) + tech_5_6*OFFSET(TblTech[[#This Row],[5-6]],-1,0) )-TblMagic[[#This Row],[Wiz str cost]]</f>
        <v>1</v>
      </c>
      <c r="E85" s="205">
        <f ca="1">OFFSET(TblMagic[[#This Row],[Time]],-1,0)+1/24</f>
        <v>44408.124999999804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3</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3</v>
      </c>
    </row>
    <row r="86" spans="1:39" x14ac:dyDescent="0.2">
      <c r="A86" s="178">
        <f>TblRezone[[#This Row],[Hour]]</f>
        <v>83</v>
      </c>
      <c r="B86" s="200">
        <f ca="1">TblConstr[[#This Row],[Land]]</f>
        <v>600</v>
      </c>
      <c r="C86" s="113">
        <f ca="1">TblProd[[#This Row],[Mana]]</f>
        <v>6309.5</v>
      </c>
      <c r="D86" s="202">
        <f ca="1">MIN(1,OFFSET(TblMagic[[#This Row],[Wiz str]],-1,0)+0.04+ROUNDDOWN(10*OFFSET(TblMili[[#This Row],[WG''s]],-1,0),0)+ tech_2_7*OFFSET(TblTech[[#This Row],[2-7]],-1,0) + tech_5_6*OFFSET(TblTech[[#This Row],[5-6]],-1,0) )-TblMagic[[#This Row],[Wiz str cost]]</f>
        <v>1</v>
      </c>
      <c r="E86" s="205">
        <f ca="1">OFFSET(TblMagic[[#This Row],[Time]],-1,0)+1/24</f>
        <v>44408.166666666468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2</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2</v>
      </c>
    </row>
    <row r="87" spans="1:39" x14ac:dyDescent="0.2">
      <c r="A87" s="178">
        <f>TblRezone[[#This Row],[Hour]]</f>
        <v>84</v>
      </c>
      <c r="B87" s="200">
        <f ca="1">TblConstr[[#This Row],[Land]]</f>
        <v>600</v>
      </c>
      <c r="C87" s="113">
        <f ca="1">TblProd[[#This Row],[Mana]]</f>
        <v>6558.5</v>
      </c>
      <c r="D87" s="202">
        <f ca="1">MIN(1,OFFSET(TblMagic[[#This Row],[Wiz str]],-1,0)+0.04+ROUNDDOWN(10*OFFSET(TblMili[[#This Row],[WG''s]],-1,0),0)+ tech_2_7*OFFSET(TblTech[[#This Row],[2-7]],-1,0) + tech_5_6*OFFSET(TblTech[[#This Row],[5-6]],-1,0) )-TblMagic[[#This Row],[Wiz str cost]]</f>
        <v>1</v>
      </c>
      <c r="E87" s="205">
        <f ca="1">OFFSET(TblMagic[[#This Row],[Time]],-1,0)+1/24</f>
        <v>44408.208333333132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1</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1</v>
      </c>
    </row>
    <row r="88" spans="1:39" x14ac:dyDescent="0.2">
      <c r="A88" s="178">
        <f>TblRezone[[#This Row],[Hour]]</f>
        <v>85</v>
      </c>
      <c r="B88" s="200">
        <f ca="1">TblConstr[[#This Row],[Land]]</f>
        <v>600</v>
      </c>
      <c r="C88" s="113">
        <f ca="1">TblProd[[#This Row],[Mana]]</f>
        <v>6802.5</v>
      </c>
      <c r="D88" s="202">
        <f ca="1">MIN(1,OFFSET(TblMagic[[#This Row],[Wiz str]],-1,0)+0.04+ROUNDDOWN(10*OFFSET(TblMili[[#This Row],[WG''s]],-1,0),0)+ tech_2_7*OFFSET(TblTech[[#This Row],[2-7]],-1,0) + tech_5_6*OFFSET(TblTech[[#This Row],[5-6]],-1,0) )-TblMagic[[#This Row],[Wiz str cost]]</f>
        <v>1</v>
      </c>
      <c r="E88" s="205">
        <f ca="1">OFFSET(TblMagic[[#This Row],[Time]],-1,0)+1/24</f>
        <v>44408.249999999796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600</v>
      </c>
      <c r="C89" s="113">
        <f ca="1">TblProd[[#This Row],[Mana]]</f>
        <v>7041.5</v>
      </c>
      <c r="D89" s="202">
        <f ca="1">MIN(1,OFFSET(TblMagic[[#This Row],[Wiz str]],-1,0)+0.04+ROUNDDOWN(10*OFFSET(TblMili[[#This Row],[WG''s]],-1,0),0)+ tech_2_7*OFFSET(TblTech[[#This Row],[2-7]],-1,0) + tech_5_6*OFFSET(TblTech[[#This Row],[5-6]],-1,0) )-TblMagic[[#This Row],[Wiz str cost]]</f>
        <v>1</v>
      </c>
      <c r="E89" s="205">
        <f ca="1">OFFSET(TblMagic[[#This Row],[Time]],-1,0)+1/24</f>
        <v>44408.291666666461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600</v>
      </c>
      <c r="C90" s="113">
        <f ca="1">TblProd[[#This Row],[Mana]]</f>
        <v>7275.5</v>
      </c>
      <c r="D90" s="202">
        <f ca="1">MIN(1,OFFSET(TblMagic[[#This Row],[Wiz str]],-1,0)+0.04+ROUNDDOWN(10*OFFSET(TblMili[[#This Row],[WG''s]],-1,0),0)+ tech_2_7*OFFSET(TblTech[[#This Row],[2-7]],-1,0) + tech_5_6*OFFSET(TblTech[[#This Row],[5-6]],-1,0) )-TblMagic[[#This Row],[Wiz str cost]]</f>
        <v>1</v>
      </c>
      <c r="E90" s="205">
        <f ca="1">OFFSET(TblMagic[[#This Row],[Time]],-1,0)+1/24</f>
        <v>44408.333333333125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600</v>
      </c>
      <c r="C91" s="113">
        <f ca="1">TblProd[[#This Row],[Mana]]</f>
        <v>7504.5</v>
      </c>
      <c r="D91" s="202">
        <f ca="1">MIN(1,OFFSET(TblMagic[[#This Row],[Wiz str]],-1,0)+0.04+ROUNDDOWN(10*OFFSET(TblMili[[#This Row],[WG''s]],-1,0),0)+ tech_2_7*OFFSET(TblTech[[#This Row],[2-7]],-1,0) + tech_5_6*OFFSET(TblTech[[#This Row],[5-6]],-1,0) )-TblMagic[[#This Row],[Wiz str cost]]</f>
        <v>1</v>
      </c>
      <c r="E91" s="205">
        <f ca="1">OFFSET(TblMagic[[#This Row],[Time]],-1,0)+1/24</f>
        <v>44408.374999999789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600</v>
      </c>
      <c r="C92" s="113">
        <f ca="1">TblProd[[#This Row],[Mana]]</f>
        <v>7729.5</v>
      </c>
      <c r="D92" s="202">
        <f ca="1">MIN(1,OFFSET(TblMagic[[#This Row],[Wiz str]],-1,0)+0.04+ROUNDDOWN(10*OFFSET(TblMili[[#This Row],[WG''s]],-1,0),0)+ tech_2_7*OFFSET(TblTech[[#This Row],[2-7]],-1,0) + tech_5_6*OFFSET(TblTech[[#This Row],[5-6]],-1,0) )-TblMagic[[#This Row],[Wiz str cost]]</f>
        <v>1</v>
      </c>
      <c r="E92" s="205">
        <f ca="1">OFFSET(TblMagic[[#This Row],[Time]],-1,0)+1/24</f>
        <v>44408.416666666453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600</v>
      </c>
      <c r="C93" s="113">
        <f ca="1">TblProd[[#This Row],[Mana]]</f>
        <v>7949.5</v>
      </c>
      <c r="D93" s="202">
        <f ca="1">MIN(1,OFFSET(TblMagic[[#This Row],[Wiz str]],-1,0)+0.04+ROUNDDOWN(10*OFFSET(TblMili[[#This Row],[WG''s]],-1,0),0)+ tech_2_7*OFFSET(TblTech[[#This Row],[2-7]],-1,0) + tech_5_6*OFFSET(TblTech[[#This Row],[5-6]],-1,0) )-TblMagic[[#This Row],[Wiz str cost]]</f>
        <v>1</v>
      </c>
      <c r="E93" s="205">
        <f ca="1">OFFSET(TblMagic[[#This Row],[Time]],-1,0)+1/24</f>
        <v>44408.458333333117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600</v>
      </c>
      <c r="C94" s="113">
        <f ca="1">TblProd[[#This Row],[Mana]]</f>
        <v>8165.5</v>
      </c>
      <c r="D94" s="202">
        <f ca="1">MIN(1,OFFSET(TblMagic[[#This Row],[Wiz str]],-1,0)+0.04+ROUNDDOWN(10*OFFSET(TblMili[[#This Row],[WG''s]],-1,0),0)+ tech_2_7*OFFSET(TblTech[[#This Row],[2-7]],-1,0) + tech_5_6*OFFSET(TblTech[[#This Row],[5-6]],-1,0) )-TblMagic[[#This Row],[Wiz str cost]]</f>
        <v>1</v>
      </c>
      <c r="E94" s="205">
        <f ca="1">OFFSET(TblMagic[[#This Row],[Time]],-1,0)+1/24</f>
        <v>44408.499999999782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600</v>
      </c>
      <c r="C95" s="113">
        <f ca="1">TblProd[[#This Row],[Mana]]</f>
        <v>8377.5</v>
      </c>
      <c r="D95" s="202">
        <f ca="1">MIN(1,OFFSET(TblMagic[[#This Row],[Wiz str]],-1,0)+0.04+ROUNDDOWN(10*OFFSET(TblMili[[#This Row],[WG''s]],-1,0),0)+ tech_2_7*OFFSET(TblTech[[#This Row],[2-7]],-1,0) + tech_5_6*OFFSET(TblTech[[#This Row],[5-6]],-1,0) )-TblMagic[[#This Row],[Wiz str cost]]</f>
        <v>1</v>
      </c>
      <c r="E95" s="205">
        <f ca="1">OFFSET(TblMagic[[#This Row],[Time]],-1,0)+1/24</f>
        <v>44408.541666666446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600</v>
      </c>
      <c r="C96" s="113">
        <f ca="1">TblProd[[#This Row],[Mana]]</f>
        <v>8584.5</v>
      </c>
      <c r="D96" s="202">
        <f ca="1">MIN(1,OFFSET(TblMagic[[#This Row],[Wiz str]],-1,0)+0.04+ROUNDDOWN(10*OFFSET(TblMili[[#This Row],[WG''s]],-1,0),0)+ tech_2_7*OFFSET(TblTech[[#This Row],[2-7]],-1,0) + tech_5_6*OFFSET(TblTech[[#This Row],[5-6]],-1,0) )-TblMagic[[#This Row],[Wiz str cost]]</f>
        <v>1</v>
      </c>
      <c r="E96" s="205">
        <f ca="1">OFFSET(TblMagic[[#This Row],[Time]],-1,0)+1/24</f>
        <v>44408.58333333311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600</v>
      </c>
      <c r="C97" s="113">
        <f ca="1">TblProd[[#This Row],[Mana]]</f>
        <v>8787.5</v>
      </c>
      <c r="D97" s="202">
        <f ca="1">MIN(1,OFFSET(TblMagic[[#This Row],[Wiz str]],-1,0)+0.04+ROUNDDOWN(10*OFFSET(TblMili[[#This Row],[WG''s]],-1,0),0)+ tech_2_7*OFFSET(TblTech[[#This Row],[2-7]],-1,0) + tech_5_6*OFFSET(TblTech[[#This Row],[5-6]],-1,0) )-TblMagic[[#This Row],[Wiz str cost]]</f>
        <v>1</v>
      </c>
      <c r="E97" s="205">
        <f ca="1">OFFSET(TblMagic[[#This Row],[Time]],-1,0)+1/24</f>
        <v>44408.624999999774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600</v>
      </c>
      <c r="C98" s="113">
        <f ca="1">TblProd[[#This Row],[Mana]]</f>
        <v>8986.5</v>
      </c>
      <c r="D98" s="202">
        <f ca="1">MIN(1,OFFSET(TblMagic[[#This Row],[Wiz str]],-1,0)+0.04+ROUNDDOWN(10*OFFSET(TblMili[[#This Row],[WG''s]],-1,0),0)+ tech_2_7*OFFSET(TblTech[[#This Row],[2-7]],-1,0) + tech_5_6*OFFSET(TblTech[[#This Row],[5-6]],-1,0) )-TblMagic[[#This Row],[Wiz str cost]]</f>
        <v>1</v>
      </c>
      <c r="E98" s="205">
        <f ca="1">OFFSET(TblMagic[[#This Row],[Time]],-1,0)+1/24</f>
        <v>44408.666666666439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600</v>
      </c>
      <c r="C99" s="113">
        <f ca="1">TblProd[[#This Row],[Mana]]</f>
        <v>9181.5</v>
      </c>
      <c r="D99" s="202">
        <f ca="1">MIN(1,OFFSET(TblMagic[[#This Row],[Wiz str]],-1,0)+0.04+ROUNDDOWN(10*OFFSET(TblMili[[#This Row],[WG''s]],-1,0),0)+ tech_2_7*OFFSET(TblTech[[#This Row],[2-7]],-1,0) + tech_5_6*OFFSET(TblTech[[#This Row],[5-6]],-1,0) )-TblMagic[[#This Row],[Wiz str cost]]</f>
        <v>1</v>
      </c>
      <c r="E99" s="205">
        <f ca="1">OFFSET(TblMagic[[#This Row],[Time]],-1,0)+1/24</f>
        <v>44408.708333333103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600</v>
      </c>
      <c r="C100" s="113">
        <f ca="1">TblProd[[#This Row],[Mana]]</f>
        <v>9372.5</v>
      </c>
      <c r="D100" s="202">
        <f ca="1">MIN(1,OFFSET(TblMagic[[#This Row],[Wiz str]],-1,0)+0.04+ROUNDDOWN(10*OFFSET(TblMili[[#This Row],[WG''s]],-1,0),0)+ tech_2_7*OFFSET(TblTech[[#This Row],[2-7]],-1,0) + tech_5_6*OFFSET(TblTech[[#This Row],[5-6]],-1,0) )-TblMagic[[#This Row],[Wiz str cost]]</f>
        <v>1</v>
      </c>
      <c r="E100" s="205">
        <f ca="1">OFFSET(TblMagic[[#This Row],[Time]],-1,0)+1/24</f>
        <v>44408.749999999767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600</v>
      </c>
      <c r="C101" s="113">
        <f ca="1">TblProd[[#This Row],[Mana]]</f>
        <v>9560.5</v>
      </c>
      <c r="D101" s="202">
        <f ca="1">MIN(1,OFFSET(TblMagic[[#This Row],[Wiz str]],-1,0)+0.04+ROUNDDOWN(10*OFFSET(TblMili[[#This Row],[WG''s]],-1,0),0)+ tech_2_7*OFFSET(TblTech[[#This Row],[2-7]],-1,0) + tech_5_6*OFFSET(TblTech[[#This Row],[5-6]],-1,0) )-TblMagic[[#This Row],[Wiz str cost]]</f>
        <v>1</v>
      </c>
      <c r="E101" s="205">
        <f ca="1">OFFSET(TblMagic[[#This Row],[Time]],-1,0)+1/24</f>
        <v>44408.791666666431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600</v>
      </c>
      <c r="C102" s="113">
        <f ca="1">TblProd[[#This Row],[Mana]]</f>
        <v>9744.5</v>
      </c>
      <c r="D102" s="202">
        <f ca="1">MIN(1,OFFSET(TblMagic[[#This Row],[Wiz str]],-1,0)+0.04+ROUNDDOWN(10*OFFSET(TblMili[[#This Row],[WG''s]],-1,0),0)+ tech_2_7*OFFSET(TblTech[[#This Row],[2-7]],-1,0) + tech_5_6*OFFSET(TblTech[[#This Row],[5-6]],-1,0) )-TblMagic[[#This Row],[Wiz str cost]]</f>
        <v>1</v>
      </c>
      <c r="E102" s="205">
        <f ca="1">OFFSET(TblMagic[[#This Row],[Time]],-1,0)+1/24</f>
        <v>44408.833333333096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600</v>
      </c>
      <c r="C103" s="113">
        <f ca="1">TblProd[[#This Row],[Mana]]</f>
        <v>9924.5</v>
      </c>
      <c r="D103" s="202">
        <f ca="1">MIN(1,OFFSET(TblMagic[[#This Row],[Wiz str]],-1,0)+0.04+ROUNDDOWN(10*OFFSET(TblMili[[#This Row],[WG''s]],-1,0),0)+ tech_2_7*OFFSET(TblTech[[#This Row],[2-7]],-1,0) + tech_5_6*OFFSET(TblTech[[#This Row],[5-6]],-1,0) )-TblMagic[[#This Row],[Wiz str cost]]</f>
        <v>1</v>
      </c>
      <c r="E103" s="205">
        <f ca="1">OFFSET(TblMagic[[#This Row],[Time]],-1,0)+1/24</f>
        <v>44408.87499999976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600</v>
      </c>
      <c r="C104" s="113">
        <f ca="1">TblProd[[#This Row],[Mana]]</f>
        <v>10101.5</v>
      </c>
      <c r="D104" s="202">
        <f ca="1">MIN(1,OFFSET(TblMagic[[#This Row],[Wiz str]],-1,0)+0.04+ROUNDDOWN(10*OFFSET(TblMili[[#This Row],[WG''s]],-1,0),0)+ tech_2_7*OFFSET(TblTech[[#This Row],[2-7]],-1,0) + tech_5_6*OFFSET(TblTech[[#This Row],[5-6]],-1,0) )-TblMagic[[#This Row],[Wiz str cost]]</f>
        <v>1</v>
      </c>
      <c r="E104" s="205">
        <f ca="1">OFFSET(TblMagic[[#This Row],[Time]],-1,0)+1/24</f>
        <v>44408.916666666424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600</v>
      </c>
      <c r="C105" s="113">
        <f ca="1">TblProd[[#This Row],[Mana]]</f>
        <v>10274.5</v>
      </c>
      <c r="D105" s="202">
        <f ca="1">MIN(1,OFFSET(TblMagic[[#This Row],[Wiz str]],-1,0)+0.04+ROUNDDOWN(10*OFFSET(TblMili[[#This Row],[WG''s]],-1,0),0)+ tech_2_7*OFFSET(TblTech[[#This Row],[2-7]],-1,0) + tech_5_6*OFFSET(TblTech[[#This Row],[5-6]],-1,0) )-TblMagic[[#This Row],[Wiz str cost]]</f>
        <v>1</v>
      </c>
      <c r="E105" s="205">
        <f ca="1">OFFSET(TblMagic[[#This Row],[Time]],-1,0)+1/24</f>
        <v>44408.958333333088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600</v>
      </c>
      <c r="C106" s="113">
        <f ca="1">TblProd[[#This Row],[Mana]]</f>
        <v>10444.5</v>
      </c>
      <c r="D106" s="202">
        <f ca="1">MIN(1,OFFSET(TblMagic[[#This Row],[Wiz str]],-1,0)+0.04+ROUNDDOWN(10*OFFSET(TblMili[[#This Row],[WG''s]],-1,0),0)+ tech_2_7*OFFSET(TblTech[[#This Row],[2-7]],-1,0) + tech_5_6*OFFSET(TblTech[[#This Row],[5-6]],-1,0) )-TblMagic[[#This Row],[Wiz str cost]]</f>
        <v>1</v>
      </c>
      <c r="E106" s="205">
        <f ca="1">OFFSET(TblMagic[[#This Row],[Time]],-1,0)+1/24</f>
        <v>44408.999999999753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600</v>
      </c>
      <c r="C107" s="113">
        <f ca="1">TblProd[[#This Row],[Mana]]</f>
        <v>10610.5</v>
      </c>
      <c r="D107" s="202">
        <f ca="1">MIN(1,OFFSET(TblMagic[[#This Row],[Wiz str]],-1,0)+0.04+ROUNDDOWN(10*OFFSET(TblMili[[#This Row],[WG''s]],-1,0),0)+ tech_2_7*OFFSET(TblTech[[#This Row],[2-7]],-1,0) + tech_5_6*OFFSET(TblTech[[#This Row],[5-6]],-1,0) )-TblMagic[[#This Row],[Wiz str cost]]</f>
        <v>1</v>
      </c>
      <c r="E107" s="205">
        <f ca="1">OFFSET(TblMagic[[#This Row],[Time]],-1,0)+1/24</f>
        <v>44409.041666666417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600</v>
      </c>
      <c r="C108" s="113">
        <f ca="1">TblProd[[#This Row],[Mana]]</f>
        <v>10773.5</v>
      </c>
      <c r="D108" s="202">
        <f ca="1">MIN(1,OFFSET(TblMagic[[#This Row],[Wiz str]],-1,0)+0.04+ROUNDDOWN(10*OFFSET(TblMili[[#This Row],[WG''s]],-1,0),0)+ tech_2_7*OFFSET(TblTech[[#This Row],[2-7]],-1,0) + tech_5_6*OFFSET(TblTech[[#This Row],[5-6]],-1,0) )-TblMagic[[#This Row],[Wiz str cost]]</f>
        <v>1</v>
      </c>
      <c r="E108" s="205">
        <f ca="1">OFFSET(TblMagic[[#This Row],[Time]],-1,0)+1/24</f>
        <v>44409.083333333081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600</v>
      </c>
      <c r="C109" s="113">
        <f ca="1">TblProd[[#This Row],[Mana]]</f>
        <v>10933.5</v>
      </c>
      <c r="D109" s="202">
        <f ca="1">MIN(1,OFFSET(TblMagic[[#This Row],[Wiz str]],-1,0)+0.04+ROUNDDOWN(10*OFFSET(TblMili[[#This Row],[WG''s]],-1,0),0)+ tech_2_7*OFFSET(TblTech[[#This Row],[2-7]],-1,0) + tech_5_6*OFFSET(TblTech[[#This Row],[5-6]],-1,0) )-TblMagic[[#This Row],[Wiz str cost]]</f>
        <v>1</v>
      </c>
      <c r="E109" s="205">
        <f ca="1">OFFSET(TblMagic[[#This Row],[Time]],-1,0)+1/24</f>
        <v>44409.124999999745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600</v>
      </c>
      <c r="C110" s="113">
        <f ca="1">TblProd[[#This Row],[Mana]]</f>
        <v>11089.5</v>
      </c>
      <c r="D110" s="202">
        <f ca="1">MIN(1,OFFSET(TblMagic[[#This Row],[Wiz str]],-1,0)+0.04+ROUNDDOWN(10*OFFSET(TblMili[[#This Row],[WG''s]],-1,0),0)+ tech_2_7*OFFSET(TblTech[[#This Row],[2-7]],-1,0) + tech_5_6*OFFSET(TblTech[[#This Row],[5-6]],-1,0) )-TblMagic[[#This Row],[Wiz str cost]]</f>
        <v>1</v>
      </c>
      <c r="E110" s="205">
        <f ca="1">OFFSET(TblMagic[[#This Row],[Time]],-1,0)+1/24</f>
        <v>44409.16666666641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600</v>
      </c>
      <c r="C111" s="113">
        <f ca="1">TblProd[[#This Row],[Mana]]</f>
        <v>11242.5</v>
      </c>
      <c r="D111" s="202">
        <f ca="1">MIN(1,OFFSET(TblMagic[[#This Row],[Wiz str]],-1,0)+0.04+ROUNDDOWN(10*OFFSET(TblMili[[#This Row],[WG''s]],-1,0),0)+ tech_2_7*OFFSET(TblTech[[#This Row],[2-7]],-1,0) + tech_5_6*OFFSET(TblTech[[#This Row],[5-6]],-1,0) )-TblMagic[[#This Row],[Wiz str cost]]</f>
        <v>1</v>
      </c>
      <c r="E111" s="205">
        <f ca="1">OFFSET(TblMagic[[#This Row],[Time]],-1,0)+1/24</f>
        <v>44409.208333333074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600</v>
      </c>
      <c r="C112" s="113">
        <f ca="1">TblProd[[#This Row],[Mana]]</f>
        <v>11392.5</v>
      </c>
      <c r="D112" s="202">
        <f ca="1">MIN(1,OFFSET(TblMagic[[#This Row],[Wiz str]],-1,0)+0.04+ROUNDDOWN(10*OFFSET(TblMili[[#This Row],[WG''s]],-1,0),0)+ tech_2_7*OFFSET(TblTech[[#This Row],[2-7]],-1,0) + tech_5_6*OFFSET(TblTech[[#This Row],[5-6]],-1,0) )-TblMagic[[#This Row],[Wiz str cost]]</f>
        <v>1</v>
      </c>
      <c r="E112" s="205">
        <f ca="1">OFFSET(TblMagic[[#This Row],[Time]],-1,0)+1/24</f>
        <v>44409.249999999738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600</v>
      </c>
      <c r="C113" s="113">
        <f ca="1">TblProd[[#This Row],[Mana]]</f>
        <v>11539.5</v>
      </c>
      <c r="D113" s="202">
        <f ca="1">MIN(1,OFFSET(TblMagic[[#This Row],[Wiz str]],-1,0)+0.04+ROUNDDOWN(10*OFFSET(TblMili[[#This Row],[WG''s]],-1,0),0)+ tech_2_7*OFFSET(TblTech[[#This Row],[2-7]],-1,0) + tech_5_6*OFFSET(TblTech[[#This Row],[5-6]],-1,0) )-TblMagic[[#This Row],[Wiz str cost]]</f>
        <v>1</v>
      </c>
      <c r="E113" s="205">
        <f ca="1">OFFSET(TblMagic[[#This Row],[Time]],-1,0)+1/24</f>
        <v>44409.291666666402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600</v>
      </c>
      <c r="C114" s="113">
        <f ca="1">TblProd[[#This Row],[Mana]]</f>
        <v>11683.5</v>
      </c>
      <c r="D114" s="202">
        <f ca="1">MIN(1,OFFSET(TblMagic[[#This Row],[Wiz str]],-1,0)+0.04+ROUNDDOWN(10*OFFSET(TblMili[[#This Row],[WG''s]],-1,0),0)+ tech_2_7*OFFSET(TblTech[[#This Row],[2-7]],-1,0) + tech_5_6*OFFSET(TblTech[[#This Row],[5-6]],-1,0) )-TblMagic[[#This Row],[Wiz str cost]]</f>
        <v>1</v>
      </c>
      <c r="E114" s="205">
        <f ca="1">OFFSET(TblMagic[[#This Row],[Time]],-1,0)+1/24</f>
        <v>44409.333333333067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600</v>
      </c>
      <c r="C115" s="113">
        <f ca="1">TblProd[[#This Row],[Mana]]</f>
        <v>11824.5</v>
      </c>
      <c r="D115" s="202">
        <f ca="1">MIN(1,OFFSET(TblMagic[[#This Row],[Wiz str]],-1,0)+0.04+ROUNDDOWN(10*OFFSET(TblMili[[#This Row],[WG''s]],-1,0),0)+ tech_2_7*OFFSET(TblTech[[#This Row],[2-7]],-1,0) + tech_5_6*OFFSET(TblTech[[#This Row],[5-6]],-1,0) )-TblMagic[[#This Row],[Wiz str cost]]</f>
        <v>1</v>
      </c>
      <c r="E115" s="205">
        <f ca="1">OFFSET(TblMagic[[#This Row],[Time]],-1,0)+1/24</f>
        <v>44409.374999999731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600</v>
      </c>
      <c r="C116" s="113">
        <f ca="1">TblProd[[#This Row],[Mana]]</f>
        <v>11963.5</v>
      </c>
      <c r="D116" s="202">
        <f ca="1">MIN(1,OFFSET(TblMagic[[#This Row],[Wiz str]],-1,0)+0.04+ROUNDDOWN(10*OFFSET(TblMili[[#This Row],[WG''s]],-1,0),0)+ tech_2_7*OFFSET(TblTech[[#This Row],[2-7]],-1,0) + tech_5_6*OFFSET(TblTech[[#This Row],[5-6]],-1,0) )-TblMagic[[#This Row],[Wiz str cost]]</f>
        <v>1</v>
      </c>
      <c r="E116" s="205">
        <f ca="1">OFFSET(TblMagic[[#This Row],[Time]],-1,0)+1/24</f>
        <v>44409.416666666395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600</v>
      </c>
      <c r="C117" s="113">
        <f ca="1">TblProd[[#This Row],[Mana]]</f>
        <v>12099.5</v>
      </c>
      <c r="D117" s="202">
        <f ca="1">MIN(1,OFFSET(TblMagic[[#This Row],[Wiz str]],-1,0)+0.04+ROUNDDOWN(10*OFFSET(TblMili[[#This Row],[WG''s]],-1,0),0)+ tech_2_7*OFFSET(TblTech[[#This Row],[2-7]],-1,0) + tech_5_6*OFFSET(TblTech[[#This Row],[5-6]],-1,0) )-TblMagic[[#This Row],[Wiz str cost]]</f>
        <v>1</v>
      </c>
      <c r="E117" s="205">
        <f ca="1">OFFSET(TblMagic[[#This Row],[Time]],-1,0)+1/24</f>
        <v>44409.458333333059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600</v>
      </c>
      <c r="C118" s="113">
        <f ca="1">TblProd[[#This Row],[Mana]]</f>
        <v>12232.5</v>
      </c>
      <c r="D118" s="202">
        <f ca="1">MIN(1,OFFSET(TblMagic[[#This Row],[Wiz str]],-1,0)+0.04+ROUNDDOWN(10*OFFSET(TblMili[[#This Row],[WG''s]],-1,0),0)+ tech_2_7*OFFSET(TblTech[[#This Row],[2-7]],-1,0) + tech_5_6*OFFSET(TblTech[[#This Row],[5-6]],-1,0) )-TblMagic[[#This Row],[Wiz str cost]]</f>
        <v>1</v>
      </c>
      <c r="E118" s="205">
        <f ca="1">OFFSET(TblMagic[[#This Row],[Time]],-1,0)+1/24</f>
        <v>44409.499999999724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600</v>
      </c>
      <c r="C119" s="113">
        <f ca="1">TblProd[[#This Row],[Mana]]</f>
        <v>12362.5</v>
      </c>
      <c r="D119" s="202">
        <f ca="1">MIN(1,OFFSET(TblMagic[[#This Row],[Wiz str]],-1,0)+0.04+ROUNDDOWN(10*OFFSET(TblMili[[#This Row],[WG''s]],-1,0),0)+ tech_2_7*OFFSET(TblTech[[#This Row],[2-7]],-1,0) + tech_5_6*OFFSET(TblTech[[#This Row],[5-6]],-1,0) )-TblMagic[[#This Row],[Wiz str cost]]</f>
        <v>1</v>
      </c>
      <c r="E119" s="205">
        <f ca="1">OFFSET(TblMagic[[#This Row],[Time]],-1,0)+1/24</f>
        <v>44409.541666666388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600</v>
      </c>
      <c r="C120" s="113">
        <f ca="1">TblProd[[#This Row],[Mana]]</f>
        <v>12490.5</v>
      </c>
      <c r="D120" s="202">
        <f ca="1">MIN(1,OFFSET(TblMagic[[#This Row],[Wiz str]],-1,0)+0.04+ROUNDDOWN(10*OFFSET(TblMili[[#This Row],[WG''s]],-1,0),0)+ tech_2_7*OFFSET(TblTech[[#This Row],[2-7]],-1,0) + tech_5_6*OFFSET(TblTech[[#This Row],[5-6]],-1,0) )-TblMagic[[#This Row],[Wiz str cost]]</f>
        <v>1</v>
      </c>
      <c r="E120" s="205">
        <f ca="1">OFFSET(TblMagic[[#This Row],[Time]],-1,0)+1/24</f>
        <v>44409.583333333052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600</v>
      </c>
      <c r="C121" s="113">
        <f ca="1">TblProd[[#This Row],[Mana]]</f>
        <v>12615.5</v>
      </c>
      <c r="D121" s="202">
        <f ca="1">MIN(1,OFFSET(TblMagic[[#This Row],[Wiz str]],-1,0)+0.04+ROUNDDOWN(10*OFFSET(TblMili[[#This Row],[WG''s]],-1,0),0)+ tech_2_7*OFFSET(TblTech[[#This Row],[2-7]],-1,0) + tech_5_6*OFFSET(TblTech[[#This Row],[5-6]],-1,0) )-TblMagic[[#This Row],[Wiz str cost]]</f>
        <v>1</v>
      </c>
      <c r="E121" s="205">
        <f ca="1">OFFSET(TblMagic[[#This Row],[Time]],-1,0)+1/24</f>
        <v>44409.624999999716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600</v>
      </c>
      <c r="C122" s="113">
        <f ca="1">TblProd[[#This Row],[Mana]]</f>
        <v>12738.5</v>
      </c>
      <c r="D122" s="202">
        <f ca="1">MIN(1,OFFSET(TblMagic[[#This Row],[Wiz str]],-1,0)+0.04+ROUNDDOWN(10*OFFSET(TblMili[[#This Row],[WG''s]],-1,0),0)+ tech_2_7*OFFSET(TblTech[[#This Row],[2-7]],-1,0) + tech_5_6*OFFSET(TblTech[[#This Row],[5-6]],-1,0) )-TblMagic[[#This Row],[Wiz str cost]]</f>
        <v>1</v>
      </c>
      <c r="E122" s="205">
        <f ca="1">OFFSET(TblMagic[[#This Row],[Time]],-1,0)+1/24</f>
        <v>44409.66666666638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600</v>
      </c>
      <c r="C123" s="113">
        <f ca="1">TblProd[[#This Row],[Mana]]</f>
        <v>12858.5</v>
      </c>
      <c r="D123" s="202">
        <f ca="1">MIN(1,OFFSET(TblMagic[[#This Row],[Wiz str]],-1,0)+0.04+ROUNDDOWN(10*OFFSET(TblMili[[#This Row],[WG''s]],-1,0),0)+ tech_2_7*OFFSET(TblTech[[#This Row],[2-7]],-1,0) + tech_5_6*OFFSET(TblTech[[#This Row],[5-6]],-1,0) )-TblMagic[[#This Row],[Wiz str cost]]</f>
        <v>1</v>
      </c>
      <c r="E123" s="205">
        <f ca="1">OFFSET(TblMagic[[#This Row],[Time]],-1,0)+1/24</f>
        <v>44409.708333333045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600</v>
      </c>
      <c r="C124" s="113">
        <f ca="1">TblProd[[#This Row],[Mana]]</f>
        <v>12976.5</v>
      </c>
      <c r="D124" s="202">
        <f ca="1">MIN(1,OFFSET(TblMagic[[#This Row],[Wiz str]],-1,0)+0.04+ROUNDDOWN(10*OFFSET(TblMili[[#This Row],[WG''s]],-1,0),0)+ tech_2_7*OFFSET(TblTech[[#This Row],[2-7]],-1,0) + tech_5_6*OFFSET(TblTech[[#This Row],[5-6]],-1,0) )-TblMagic[[#This Row],[Wiz str cost]]</f>
        <v>1</v>
      </c>
      <c r="E124" s="205">
        <f ca="1">OFFSET(TblMagic[[#This Row],[Time]],-1,0)+1/24</f>
        <v>44409.749999999709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600</v>
      </c>
      <c r="C125" s="113">
        <f ca="1">TblProd[[#This Row],[Mana]]</f>
        <v>13091.5</v>
      </c>
      <c r="D125" s="202">
        <f ca="1">MIN(1,OFFSET(TblMagic[[#This Row],[Wiz str]],-1,0)+0.04+ROUNDDOWN(10*OFFSET(TblMili[[#This Row],[WG''s]],-1,0),0)+ tech_2_7*OFFSET(TblTech[[#This Row],[2-7]],-1,0) + tech_5_6*OFFSET(TblTech[[#This Row],[5-6]],-1,0) )-TblMagic[[#This Row],[Wiz str cost]]</f>
        <v>1</v>
      </c>
      <c r="E125" s="205">
        <f ca="1">OFFSET(TblMagic[[#This Row],[Time]],-1,0)+1/24</f>
        <v>44409.791666666373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600</v>
      </c>
      <c r="C126" s="113">
        <f ca="1">TblProd[[#This Row],[Mana]]</f>
        <v>13204.5</v>
      </c>
      <c r="D126" s="202">
        <f ca="1">MIN(1,OFFSET(TblMagic[[#This Row],[Wiz str]],-1,0)+0.04+ROUNDDOWN(10*OFFSET(TblMili[[#This Row],[WG''s]],-1,0),0)+ tech_2_7*OFFSET(TblTech[[#This Row],[2-7]],-1,0) + tech_5_6*OFFSET(TblTech[[#This Row],[5-6]],-1,0) )-TblMagic[[#This Row],[Wiz str cost]]</f>
        <v>1</v>
      </c>
      <c r="E126" s="205">
        <f ca="1">OFFSET(TblMagic[[#This Row],[Time]],-1,0)+1/24</f>
        <v>44409.833333333037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600</v>
      </c>
      <c r="C127" s="113">
        <f ca="1">TblProd[[#This Row],[Mana]]</f>
        <v>13315.5</v>
      </c>
      <c r="D127" s="202">
        <f ca="1">MIN(1,OFFSET(TblMagic[[#This Row],[Wiz str]],-1,0)+0.04+ROUNDDOWN(10*OFFSET(TblMili[[#This Row],[WG''s]],-1,0),0)+ tech_2_7*OFFSET(TblTech[[#This Row],[2-7]],-1,0) + tech_5_6*OFFSET(TblTech[[#This Row],[5-6]],-1,0) )-TblMagic[[#This Row],[Wiz str cost]]</f>
        <v>1</v>
      </c>
      <c r="E127" s="205">
        <f ca="1">OFFSET(TblMagic[[#This Row],[Time]],-1,0)+1/24</f>
        <v>44409.874999999702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600</v>
      </c>
      <c r="C128" s="113">
        <f ca="1">TblProd[[#This Row],[Mana]]</f>
        <v>13424.5</v>
      </c>
      <c r="D128" s="202">
        <f ca="1">MIN(1,OFFSET(TblMagic[[#This Row],[Wiz str]],-1,0)+0.04+ROUNDDOWN(10*OFFSET(TblMili[[#This Row],[WG''s]],-1,0),0)+ tech_2_7*OFFSET(TblTech[[#This Row],[2-7]],-1,0) + tech_5_6*OFFSET(TblTech[[#This Row],[5-6]],-1,0) )-TblMagic[[#This Row],[Wiz str cost]]</f>
        <v>1</v>
      </c>
      <c r="E128" s="205">
        <f ca="1">OFFSET(TblMagic[[#This Row],[Time]],-1,0)+1/24</f>
        <v>44409.916666666366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600</v>
      </c>
      <c r="C129" s="113">
        <f ca="1">TblProd[[#This Row],[Mana]]</f>
        <v>13531.5</v>
      </c>
      <c r="D129" s="202">
        <f ca="1">MIN(1,OFFSET(TblMagic[[#This Row],[Wiz str]],-1,0)+0.04+ROUNDDOWN(10*OFFSET(TblMili[[#This Row],[WG''s]],-1,0),0)+ tech_2_7*OFFSET(TblTech[[#This Row],[2-7]],-1,0) + tech_5_6*OFFSET(TblTech[[#This Row],[5-6]],-1,0) )-TblMagic[[#This Row],[Wiz str cost]]</f>
        <v>1</v>
      </c>
      <c r="E129" s="205">
        <f ca="1">OFFSET(TblMagic[[#This Row],[Time]],-1,0)+1/24</f>
        <v>44409.95833333303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600</v>
      </c>
      <c r="C130" s="113">
        <f ca="1">TblProd[[#This Row],[Mana]]</f>
        <v>13635.5</v>
      </c>
      <c r="D130" s="202">
        <f ca="1">MIN(1,OFFSET(TblMagic[[#This Row],[Wiz str]],-1,0)+0.04+ROUNDDOWN(10*OFFSET(TblMili[[#This Row],[WG''s]],-1,0),0)+ tech_2_7*OFFSET(TblTech[[#This Row],[2-7]],-1,0) + tech_5_6*OFFSET(TblTech[[#This Row],[5-6]],-1,0) )-TblMagic[[#This Row],[Wiz str cost]]</f>
        <v>1</v>
      </c>
      <c r="E130" s="205">
        <f ca="1">OFFSET(TblMagic[[#This Row],[Time]],-1,0)+1/24</f>
        <v>44409.999999999694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600</v>
      </c>
      <c r="C131" s="113">
        <f ca="1">TblProd[[#This Row],[Mana]]</f>
        <v>13737.5</v>
      </c>
      <c r="D131" s="202">
        <f ca="1">MIN(1,OFFSET(TblMagic[[#This Row],[Wiz str]],-1,0)+0.04+ROUNDDOWN(10*OFFSET(TblMili[[#This Row],[WG''s]],-1,0),0)+ tech_2_7*OFFSET(TblTech[[#This Row],[2-7]],-1,0) + tech_5_6*OFFSET(TblTech[[#This Row],[5-6]],-1,0) )-TblMagic[[#This Row],[Wiz str cost]]</f>
        <v>1</v>
      </c>
      <c r="E131" s="205">
        <f ca="1">OFFSET(TblMagic[[#This Row],[Time]],-1,0)+1/24</f>
        <v>44410.041666666359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600</v>
      </c>
      <c r="C132" s="113">
        <f ca="1">TblProd[[#This Row],[Mana]]</f>
        <v>13837.5</v>
      </c>
      <c r="D132" s="202">
        <f ca="1">MIN(1,OFFSET(TblMagic[[#This Row],[Wiz str]],-1,0)+0.04+ROUNDDOWN(10*OFFSET(TblMili[[#This Row],[WG''s]],-1,0),0)+ tech_2_7*OFFSET(TblTech[[#This Row],[2-7]],-1,0) + tech_5_6*OFFSET(TblTech[[#This Row],[5-6]],-1,0) )-TblMagic[[#This Row],[Wiz str cost]]</f>
        <v>1</v>
      </c>
      <c r="E132" s="205">
        <f ca="1">OFFSET(TblMagic[[#This Row],[Time]],-1,0)+1/24</f>
        <v>44410.083333333023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600</v>
      </c>
      <c r="C133" s="113">
        <f ca="1">TblProd[[#This Row],[Mana]]</f>
        <v>13935.5</v>
      </c>
      <c r="D133" s="202">
        <f ca="1">MIN(1,OFFSET(TblMagic[[#This Row],[Wiz str]],-1,0)+0.04+ROUNDDOWN(10*OFFSET(TblMili[[#This Row],[WG''s]],-1,0),0)+ tech_2_7*OFFSET(TblTech[[#This Row],[2-7]],-1,0) + tech_5_6*OFFSET(TblTech[[#This Row],[5-6]],-1,0) )-TblMagic[[#This Row],[Wiz str cost]]</f>
        <v>1</v>
      </c>
      <c r="E133" s="205">
        <f ca="1">OFFSET(TblMagic[[#This Row],[Time]],-1,0)+1/24</f>
        <v>44410.124999999687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600</v>
      </c>
      <c r="C134" s="113">
        <f ca="1">TblProd[[#This Row],[Mana]]</f>
        <v>14031.5</v>
      </c>
      <c r="D134" s="202">
        <f ca="1">MIN(1,OFFSET(TblMagic[[#This Row],[Wiz str]],-1,0)+0.04+ROUNDDOWN(10*OFFSET(TblMili[[#This Row],[WG''s]],-1,0),0)+ tech_2_7*OFFSET(TblTech[[#This Row],[2-7]],-1,0) + tech_5_6*OFFSET(TblTech[[#This Row],[5-6]],-1,0) )-TblMagic[[#This Row],[Wiz str cost]]</f>
        <v>1</v>
      </c>
      <c r="E134" s="205">
        <f ca="1">OFFSET(TblMagic[[#This Row],[Time]],-1,0)+1/24</f>
        <v>44410.166666666351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600</v>
      </c>
      <c r="C135" s="113">
        <f ca="1">TblProd[[#This Row],[Mana]]</f>
        <v>14125.5</v>
      </c>
      <c r="D135" s="202">
        <f ca="1">MIN(1,OFFSET(TblMagic[[#This Row],[Wiz str]],-1,0)+0.04+ROUNDDOWN(10*OFFSET(TblMili[[#This Row],[WG''s]],-1,0),0)+ tech_2_7*OFFSET(TblTech[[#This Row],[2-7]],-1,0) + tech_5_6*OFFSET(TblTech[[#This Row],[5-6]],-1,0) )-TblMagic[[#This Row],[Wiz str cost]]</f>
        <v>1</v>
      </c>
      <c r="E135" s="205">
        <f ca="1">OFFSET(TblMagic[[#This Row],[Time]],-1,0)+1/24</f>
        <v>44410.208333333016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600</v>
      </c>
      <c r="C136" s="113">
        <f ca="1">TblProd[[#This Row],[Mana]]</f>
        <v>14217.5</v>
      </c>
      <c r="D136" s="202">
        <f ca="1">MIN(1,OFFSET(TblMagic[[#This Row],[Wiz str]],-1,0)+0.04+ROUNDDOWN(10*OFFSET(TblMili[[#This Row],[WG''s]],-1,0),0)+ tech_2_7*OFFSET(TblTech[[#This Row],[2-7]],-1,0) + tech_5_6*OFFSET(TblTech[[#This Row],[5-6]],-1,0) )-TblMagic[[#This Row],[Wiz str cost]]</f>
        <v>1</v>
      </c>
      <c r="E136" s="205">
        <f ca="1">OFFSET(TblMagic[[#This Row],[Time]],-1,0)+1/24</f>
        <v>44410.24999999968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327</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5" priority="17" stopIfTrue="1">
      <formula>ROW()-2=#REF!</formula>
    </cfRule>
  </conditionalFormatting>
  <conditionalFormatting sqref="A1269:XFD1270">
    <cfRule type="expression" dxfId="264" priority="18" stopIfTrue="1">
      <formula>$C$1270&gt;144</formula>
    </cfRule>
  </conditionalFormatting>
  <conditionalFormatting sqref="A4:AM136">
    <cfRule type="expression" dxfId="263" priority="1" stopIfTrue="1">
      <formula>ROW()-3=$C$1270</formula>
    </cfRule>
    <cfRule type="expression" dxfId="262" priority="2" stopIfTrue="1">
      <formula>OR(ROW()-3=$C$1270,A4&lt;0)</formula>
    </cfRule>
    <cfRule type="expression" dxfId="261" priority="3">
      <formula>$A4=73</formula>
    </cfRule>
    <cfRule type="expression" dxfId="260" priority="11">
      <formula>ROUND(($A4-1)/12,0)=INT($A4-1)/12</formula>
    </cfRule>
  </conditionalFormatting>
  <conditionalFormatting sqref="G16:U136">
    <cfRule type="expression" dxfId="259" priority="12">
      <formula>COUNTA(G5:G16)&gt;0</formula>
    </cfRule>
  </conditionalFormatting>
  <conditionalFormatting sqref="A1:XFD3">
    <cfRule type="expression" dxfId="258"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1109</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750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299</v>
      </c>
      <c r="C28" s="354">
        <f ca="1">TblProd[[#This Row],[Techpoints]]</f>
        <v>750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299</v>
      </c>
      <c r="C29" s="354">
        <f ca="1">TblProd[[#This Row],[Techpoints]]</f>
        <v>750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299</v>
      </c>
      <c r="C30" s="354">
        <f ca="1">TblProd[[#This Row],[Techpoints]]</f>
        <v>750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299</v>
      </c>
      <c r="C31" s="354">
        <f ca="1">TblProd[[#This Row],[Techpoints]]</f>
        <v>750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299</v>
      </c>
      <c r="C32" s="354">
        <f ca="1">TblProd[[#This Row],[Techpoints]]</f>
        <v>750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299</v>
      </c>
      <c r="C33" s="354">
        <f ca="1">TblProd[[#This Row],[Techpoints]]</f>
        <v>750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299</v>
      </c>
      <c r="C34" s="354">
        <f ca="1">TblProd[[#This Row],[Techpoints]]</f>
        <v>750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299</v>
      </c>
      <c r="C35" s="354">
        <f ca="1">TblProd[[#This Row],[Techpoints]]</f>
        <v>750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299</v>
      </c>
      <c r="C36" s="354">
        <f ca="1">TblProd[[#This Row],[Techpoints]]</f>
        <v>750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299</v>
      </c>
      <c r="C37" s="354">
        <f ca="1">TblProd[[#This Row],[Techpoints]]</f>
        <v>750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299</v>
      </c>
      <c r="C38" s="354">
        <f ca="1">TblProd[[#This Row],[Techpoints]]</f>
        <v>750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434</v>
      </c>
      <c r="C39" s="354">
        <f ca="1">TblProd[[#This Row],[Techpoints]]</f>
        <v>750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434</v>
      </c>
      <c r="C40" s="354">
        <f ca="1">TblProd[[#This Row],[Techpoints]]</f>
        <v>750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434</v>
      </c>
      <c r="C41" s="354">
        <f ca="1">TblProd[[#This Row],[Techpoints]]</f>
        <v>750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434</v>
      </c>
      <c r="C42" s="354">
        <f ca="1">TblProd[[#This Row],[Techpoints]]</f>
        <v>750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454</v>
      </c>
      <c r="C43" s="354">
        <f ca="1">TblProd[[#This Row],[Techpoints]]</f>
        <v>750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454</v>
      </c>
      <c r="C44" s="354">
        <f ca="1">TblProd[[#This Row],[Techpoints]]</f>
        <v>750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454</v>
      </c>
      <c r="C45" s="354">
        <f ca="1">TblProd[[#This Row],[Techpoints]]</f>
        <v>750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454</v>
      </c>
      <c r="C46" s="354">
        <f ca="1">TblProd[[#This Row],[Techpoints]]</f>
        <v>750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454</v>
      </c>
      <c r="C47" s="354">
        <f ca="1">TblProd[[#This Row],[Techpoints]]</f>
        <v>750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454</v>
      </c>
      <c r="C48" s="354">
        <f ca="1">TblProd[[#This Row],[Techpoints]]</f>
        <v>750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454</v>
      </c>
      <c r="C49" s="354">
        <f ca="1">TblProd[[#This Row],[Techpoints]]</f>
        <v>750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550</v>
      </c>
      <c r="C50" s="354">
        <f ca="1">TblProd[[#This Row],[Techpoints]]</f>
        <v>750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557</v>
      </c>
      <c r="C51" s="354">
        <f ca="1">TblProd[[#This Row],[Techpoints]]</f>
        <v>1500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565</v>
      </c>
      <c r="C52" s="354">
        <f ca="1">TblProd[[#This Row],[Techpoints]]</f>
        <v>1500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593</v>
      </c>
      <c r="C53" s="354">
        <f ca="1">TblProd[[#This Row],[Techpoints]]</f>
        <v>1500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600</v>
      </c>
      <c r="C54" s="354">
        <f ca="1">TblProd[[#This Row],[Techpoints]]</f>
        <v>1500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600</v>
      </c>
      <c r="C55" s="354">
        <f ca="1">TblProd[[#This Row],[Techpoints]]</f>
        <v>1500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600</v>
      </c>
      <c r="C56" s="354">
        <f ca="1">TblProd[[#This Row],[Techpoints]]</f>
        <v>1500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600</v>
      </c>
      <c r="C57" s="354">
        <f ca="1">TblProd[[#This Row],[Techpoints]]</f>
        <v>1500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600</v>
      </c>
      <c r="C58" s="354">
        <f ca="1">TblProd[[#This Row],[Techpoints]]</f>
        <v>1500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600</v>
      </c>
      <c r="C59" s="354">
        <f ca="1">TblProd[[#This Row],[Techpoints]]</f>
        <v>1500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600</v>
      </c>
      <c r="C60" s="354">
        <f ca="1">TblProd[[#This Row],[Techpoints]]</f>
        <v>1500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600</v>
      </c>
      <c r="C61" s="354">
        <f ca="1">TblProd[[#This Row],[Techpoints]]</f>
        <v>1500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600</v>
      </c>
      <c r="C62" s="354">
        <f ca="1">TblProd[[#This Row],[Techpoints]]</f>
        <v>1500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600</v>
      </c>
      <c r="C63" s="354">
        <f ca="1">TblProd[[#This Row],[Techpoints]]</f>
        <v>1500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600</v>
      </c>
      <c r="C64" s="354">
        <f ca="1">TblProd[[#This Row],[Techpoints]]</f>
        <v>2250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600</v>
      </c>
      <c r="C65" s="354">
        <f ca="1">TblProd[[#This Row],[Techpoints]]</f>
        <v>2250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600</v>
      </c>
      <c r="C66" s="354">
        <f ca="1">TblProd[[#This Row],[Techpoints]]</f>
        <v>2250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600</v>
      </c>
      <c r="C67" s="354">
        <f ca="1">TblProd[[#This Row],[Techpoints]]</f>
        <v>2250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600</v>
      </c>
      <c r="C68" s="354">
        <f ca="1">TblProd[[#This Row],[Techpoints]]</f>
        <v>2250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600</v>
      </c>
      <c r="C69" s="354">
        <f ca="1">TblProd[[#This Row],[Techpoints]]</f>
        <v>2250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600</v>
      </c>
      <c r="C70" s="354">
        <f ca="1">TblProd[[#This Row],[Techpoints]]</f>
        <v>2250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600</v>
      </c>
      <c r="C71" s="354">
        <f ca="1">TblProd[[#This Row],[Techpoints]]</f>
        <v>2250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600</v>
      </c>
      <c r="C72" s="354">
        <f ca="1">TblProd[[#This Row],[Techpoints]]</f>
        <v>2250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600</v>
      </c>
      <c r="C73" s="354">
        <f ca="1">TblProd[[#This Row],[Techpoints]]</f>
        <v>2250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600</v>
      </c>
      <c r="C74" s="354">
        <f ca="1">TblProd[[#This Row],[Techpoints]]</f>
        <v>2250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600</v>
      </c>
      <c r="C75" s="354">
        <f ca="1">TblProd[[#This Row],[Techpoints]]</f>
        <v>2250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600</v>
      </c>
      <c r="C76" s="354">
        <f ca="1">TblProd[[#This Row],[Techpoints]]</f>
        <v>2250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600</v>
      </c>
      <c r="C77" s="354">
        <f ca="1">TblProd[[#This Row],[Techpoints]]</f>
        <v>2250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600</v>
      </c>
      <c r="C78" s="354">
        <f ca="1">TblProd[[#This Row],[Techpoints]]</f>
        <v>2250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600</v>
      </c>
      <c r="C79" s="354">
        <f ca="1">TblProd[[#This Row],[Techpoints]]</f>
        <v>2250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600</v>
      </c>
      <c r="C80" s="354">
        <f ca="1">TblProd[[#This Row],[Techpoints]]</f>
        <v>2250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600</v>
      </c>
      <c r="C81" s="354">
        <f ca="1">TblProd[[#This Row],[Techpoints]]</f>
        <v>2250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600</v>
      </c>
      <c r="C82" s="354">
        <f ca="1">TblProd[[#This Row],[Techpoints]]</f>
        <v>2250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600</v>
      </c>
      <c r="C83" s="354">
        <f ca="1">TblProd[[#This Row],[Techpoints]]</f>
        <v>2250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600</v>
      </c>
      <c r="C84" s="354">
        <f ca="1">TblProd[[#This Row],[Techpoints]]</f>
        <v>2250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600</v>
      </c>
      <c r="C85" s="354">
        <f ca="1">TblProd[[#This Row],[Techpoints]]</f>
        <v>2250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600</v>
      </c>
      <c r="C86" s="354">
        <f ca="1">TblProd[[#This Row],[Techpoints]]</f>
        <v>2250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600</v>
      </c>
      <c r="C87" s="354">
        <f ca="1">TblProd[[#This Row],[Techpoints]]</f>
        <v>2250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600</v>
      </c>
      <c r="C88" s="354">
        <f ca="1">TblProd[[#This Row],[Techpoints]]</f>
        <v>2250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600</v>
      </c>
      <c r="C89" s="354">
        <f ca="1">TblProd[[#This Row],[Techpoints]]</f>
        <v>2250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600</v>
      </c>
      <c r="C90" s="354">
        <f ca="1">TblProd[[#This Row],[Techpoints]]</f>
        <v>2250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600</v>
      </c>
      <c r="C91" s="354">
        <f ca="1">TblProd[[#This Row],[Techpoints]]</f>
        <v>2250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600</v>
      </c>
      <c r="C92" s="354">
        <f ca="1">TblProd[[#This Row],[Techpoints]]</f>
        <v>2250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600</v>
      </c>
      <c r="C93" s="354">
        <f ca="1">TblProd[[#This Row],[Techpoints]]</f>
        <v>2250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600</v>
      </c>
      <c r="C94" s="354">
        <f ca="1">TblProd[[#This Row],[Techpoints]]</f>
        <v>2250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600</v>
      </c>
      <c r="C95" s="354">
        <f ca="1">TblProd[[#This Row],[Techpoints]]</f>
        <v>2250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600</v>
      </c>
      <c r="C96" s="354">
        <f ca="1">TblProd[[#This Row],[Techpoints]]</f>
        <v>2250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600</v>
      </c>
      <c r="C97" s="354">
        <f ca="1">TblProd[[#This Row],[Techpoints]]</f>
        <v>2250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600</v>
      </c>
      <c r="C98" s="354">
        <f ca="1">TblProd[[#This Row],[Techpoints]]</f>
        <v>2250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600</v>
      </c>
      <c r="C99" s="354">
        <f ca="1">TblProd[[#This Row],[Techpoints]]</f>
        <v>2250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600</v>
      </c>
      <c r="C100" s="354">
        <f ca="1">TblProd[[#This Row],[Techpoints]]</f>
        <v>2250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600</v>
      </c>
      <c r="C101" s="354">
        <f ca="1">TblProd[[#This Row],[Techpoints]]</f>
        <v>2250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600</v>
      </c>
      <c r="C102" s="354">
        <f ca="1">TblProd[[#This Row],[Techpoints]]</f>
        <v>2250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600</v>
      </c>
      <c r="C103" s="354">
        <f ca="1">TblProd[[#This Row],[Techpoints]]</f>
        <v>2250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600</v>
      </c>
      <c r="C104" s="354">
        <f ca="1">TblProd[[#This Row],[Techpoints]]</f>
        <v>2250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600</v>
      </c>
      <c r="C105" s="354">
        <f ca="1">TblProd[[#This Row],[Techpoints]]</f>
        <v>2250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600</v>
      </c>
      <c r="C106" s="354">
        <f ca="1">TblProd[[#This Row],[Techpoints]]</f>
        <v>2250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600</v>
      </c>
      <c r="C107" s="354">
        <f ca="1">TblProd[[#This Row],[Techpoints]]</f>
        <v>2250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600</v>
      </c>
      <c r="C108" s="354">
        <f ca="1">TblProd[[#This Row],[Techpoints]]</f>
        <v>2250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600</v>
      </c>
      <c r="C109" s="354">
        <f ca="1">TblProd[[#This Row],[Techpoints]]</f>
        <v>2250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600</v>
      </c>
      <c r="C110" s="354">
        <f ca="1">TblProd[[#This Row],[Techpoints]]</f>
        <v>2250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600</v>
      </c>
      <c r="C111" s="354">
        <f ca="1">TblProd[[#This Row],[Techpoints]]</f>
        <v>2250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600</v>
      </c>
      <c r="C112" s="354">
        <f ca="1">TblProd[[#This Row],[Techpoints]]</f>
        <v>2250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600</v>
      </c>
      <c r="C113" s="354">
        <f ca="1">TblProd[[#This Row],[Techpoints]]</f>
        <v>2250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600</v>
      </c>
      <c r="C114" s="354">
        <f ca="1">TblProd[[#This Row],[Techpoints]]</f>
        <v>2250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600</v>
      </c>
      <c r="C115" s="354">
        <f ca="1">TblProd[[#This Row],[Techpoints]]</f>
        <v>2250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600</v>
      </c>
      <c r="C116" s="354">
        <f ca="1">TblProd[[#This Row],[Techpoints]]</f>
        <v>2250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600</v>
      </c>
      <c r="C117" s="354">
        <f ca="1">TblProd[[#This Row],[Techpoints]]</f>
        <v>2250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600</v>
      </c>
      <c r="C118" s="354">
        <f ca="1">TblProd[[#This Row],[Techpoints]]</f>
        <v>2250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600</v>
      </c>
      <c r="C119" s="354">
        <f ca="1">TblProd[[#This Row],[Techpoints]]</f>
        <v>2250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600</v>
      </c>
      <c r="C120" s="354">
        <f ca="1">TblProd[[#This Row],[Techpoints]]</f>
        <v>2250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600</v>
      </c>
      <c r="C121" s="354">
        <f ca="1">TblProd[[#This Row],[Techpoints]]</f>
        <v>2250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600</v>
      </c>
      <c r="C122" s="354">
        <f ca="1">TblProd[[#This Row],[Techpoints]]</f>
        <v>2250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600</v>
      </c>
      <c r="C123" s="354">
        <f ca="1">TblProd[[#This Row],[Techpoints]]</f>
        <v>2250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600</v>
      </c>
      <c r="C124" s="354">
        <f ca="1">TblProd[[#This Row],[Techpoints]]</f>
        <v>2250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600</v>
      </c>
      <c r="C125" s="354">
        <f ca="1">TblProd[[#This Row],[Techpoints]]</f>
        <v>2250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600</v>
      </c>
      <c r="C126" s="354">
        <f ca="1">TblProd[[#This Row],[Techpoints]]</f>
        <v>2250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600</v>
      </c>
      <c r="C127" s="354">
        <f ca="1">TblProd[[#This Row],[Techpoints]]</f>
        <v>2250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600</v>
      </c>
      <c r="C128" s="354">
        <f ca="1">TblProd[[#This Row],[Techpoints]]</f>
        <v>2250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600</v>
      </c>
      <c r="C129" s="354">
        <f ca="1">TblProd[[#This Row],[Techpoints]]</f>
        <v>2250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600</v>
      </c>
      <c r="C130" s="354">
        <f ca="1">TblProd[[#This Row],[Techpoints]]</f>
        <v>2250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600</v>
      </c>
      <c r="C131" s="354">
        <f ca="1">TblProd[[#This Row],[Techpoints]]</f>
        <v>2250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600</v>
      </c>
      <c r="C132" s="354">
        <f ca="1">TblProd[[#This Row],[Techpoints]]</f>
        <v>2250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600</v>
      </c>
      <c r="C133" s="354">
        <f ca="1">TblProd[[#This Row],[Techpoints]]</f>
        <v>2250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600</v>
      </c>
      <c r="C134" s="354">
        <f ca="1">TblProd[[#This Row],[Techpoints]]</f>
        <v>2250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600</v>
      </c>
      <c r="C135" s="354">
        <f ca="1">TblProd[[#This Row],[Techpoints]]</f>
        <v>2250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600</v>
      </c>
      <c r="C136" s="354">
        <f ca="1">TblProd[[#This Row],[Techpoints]]</f>
        <v>2250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600" t="s">
        <v>221</v>
      </c>
      <c r="AG1" s="600"/>
      <c r="AH1" s="194"/>
      <c r="AI1" s="194"/>
      <c r="AJ1" s="194"/>
      <c r="AK1" s="194"/>
      <c r="AM1" s="598" t="s">
        <v>229</v>
      </c>
      <c r="AN1" s="598"/>
      <c r="AO1" s="367"/>
      <c r="AP1" s="367"/>
      <c r="AQ1" s="368"/>
      <c r="AR1" s="598" t="s">
        <v>230</v>
      </c>
      <c r="AS1" s="598"/>
      <c r="AT1" s="599"/>
      <c r="AU1" s="367"/>
      <c r="AV1" s="368"/>
      <c r="AW1" s="598" t="s">
        <v>231</v>
      </c>
      <c r="AX1" s="598"/>
      <c r="AY1" s="598"/>
      <c r="AZ1" s="367"/>
      <c r="BA1" s="368"/>
      <c r="BB1" s="598" t="s">
        <v>232</v>
      </c>
      <c r="BC1" s="598"/>
      <c r="BD1" s="598"/>
      <c r="BE1" s="598"/>
      <c r="BF1" s="368"/>
      <c r="BG1" s="598" t="s">
        <v>233</v>
      </c>
      <c r="BH1" s="598"/>
      <c r="BI1" s="598"/>
      <c r="BJ1" s="367"/>
      <c r="BK1" s="368"/>
      <c r="BL1" s="598" t="s">
        <v>234</v>
      </c>
      <c r="BM1" s="599"/>
      <c r="BN1" s="599"/>
      <c r="BO1" s="367"/>
      <c r="BP1" s="368"/>
      <c r="BQ1" s="598" t="s">
        <v>235</v>
      </c>
      <c r="BR1" s="598"/>
      <c r="BS1" s="598"/>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42000</v>
      </c>
      <c r="D4" s="113">
        <f ca="1">TblProd[[#This Row],[Lumber]]</f>
        <v>7960</v>
      </c>
      <c r="E4" s="113">
        <f ca="1">TblProd[[#This Row],[Ore]]</f>
        <v>0</v>
      </c>
      <c r="F4" s="113">
        <f>TblProd[[#This Row],[Gems]]</f>
        <v>0</v>
      </c>
      <c r="G4" s="200"/>
      <c r="H4" s="113">
        <f ca="1">TblMili[[#This Row],[Draftees]]</f>
        <v>250</v>
      </c>
      <c r="I4" s="234">
        <f ca="1">TblPop[[#This Row],[Employment]]</f>
        <v>1</v>
      </c>
      <c r="J4" s="234">
        <f ca="1">TblPop[[#This Row],[Total]]/TblPop[[#This Row],[Net max]]</f>
        <v>0.67854113655640369</v>
      </c>
      <c r="K4" s="373">
        <f>TblRezone[[#This Row],[Hour]]</f>
        <v>1</v>
      </c>
      <c r="L4" s="374">
        <f>TblImps[[#This Row],[Real time]]</f>
        <v>44404.75</v>
      </c>
      <c r="M4" s="74">
        <f>IF(ISERROR(TblImps[[#This Row],[algorithm]]),0,TblImps[[#This Row],[algorithm]]*1)</f>
        <v>1</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 s="74">
        <f>TblImps[[#This Row],[Login]]</f>
        <v>1</v>
      </c>
      <c r="BX4" s="178"/>
      <c r="BY4" s="382">
        <f>Overview!E15</f>
        <v>44404.75</v>
      </c>
      <c r="BZ4" s="383">
        <f>Overview!B15</f>
        <v>44405</v>
      </c>
      <c r="CA4" s="141"/>
      <c r="CB4" s="384"/>
      <c r="CC4" s="385"/>
    </row>
    <row r="5" spans="1:84" x14ac:dyDescent="0.2">
      <c r="A5" s="280">
        <f ca="1">TblConstr[[#This Row],[Land]]</f>
        <v>250</v>
      </c>
      <c r="B5" s="184"/>
      <c r="C5" s="113">
        <f ca="1">TblProd[[#This Row],[Platinum]]</f>
        <v>46860</v>
      </c>
      <c r="D5" s="113">
        <f ca="1">TblProd[[#This Row],[Lumber]]</f>
        <v>8880</v>
      </c>
      <c r="E5" s="113">
        <f ca="1">TblProd[[#This Row],[Ore]]</f>
        <v>0</v>
      </c>
      <c r="F5" s="113">
        <f ca="1">TblProd[[#This Row],[Gems]]</f>
        <v>0</v>
      </c>
      <c r="G5" s="200"/>
      <c r="H5" s="113">
        <f ca="1">TblMili[[#This Row],[Draftees]]</f>
        <v>263</v>
      </c>
      <c r="I5" s="234">
        <f ca="1">TblPop[[#This Row],[Employment]]</f>
        <v>1</v>
      </c>
      <c r="J5" s="234">
        <f ca="1">TblPop[[#This Row],[Total]]/TblPop[[#This Row],[Net max]]</f>
        <v>0.51573316551290116</v>
      </c>
      <c r="K5" s="373">
        <f>TblRezone[[#This Row],[Hour]]</f>
        <v>2</v>
      </c>
      <c r="L5" s="374">
        <f ca="1">TblImps[[#This Row],[Real time]]</f>
        <v>44404.791666666664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44404.791666666664</v>
      </c>
      <c r="BZ5" s="387">
        <f ca="1">OFFSET(TblImps[[#This Row],[Servertime]],-1,0)+1/24</f>
        <v>44405.041666666664</v>
      </c>
      <c r="CA5" s="141"/>
      <c r="CB5" s="385"/>
      <c r="CC5" s="385"/>
    </row>
    <row r="6" spans="1:84" x14ac:dyDescent="0.2">
      <c r="A6" s="280">
        <f ca="1">TblConstr[[#This Row],[Land]]</f>
        <v>250</v>
      </c>
      <c r="B6" s="184"/>
      <c r="C6" s="113">
        <f ca="1">TblProd[[#This Row],[Platinum]]</f>
        <v>51790</v>
      </c>
      <c r="D6" s="113">
        <f ca="1">TblProd[[#This Row],[Lumber]]</f>
        <v>9791</v>
      </c>
      <c r="E6" s="113">
        <f ca="1">TblProd[[#This Row],[Ore]]</f>
        <v>0</v>
      </c>
      <c r="F6" s="113">
        <f ca="1">TblProd[[#This Row],[Gems]]</f>
        <v>0</v>
      </c>
      <c r="G6" s="200"/>
      <c r="H6" s="113">
        <f ca="1">TblMili[[#This Row],[Draftees]]</f>
        <v>276</v>
      </c>
      <c r="I6" s="234">
        <f ca="1">TblPop[[#This Row],[Employment]]</f>
        <v>1</v>
      </c>
      <c r="J6" s="234">
        <f ca="1">TblPop[[#This Row],[Total]]/TblPop[[#This Row],[Net max]]</f>
        <v>0.52800503461296411</v>
      </c>
      <c r="K6" s="373">
        <f>TblRezone[[#This Row],[Hour]]</f>
        <v>3</v>
      </c>
      <c r="L6" s="374">
        <f ca="1">TblImps[[#This Row],[Real time]]</f>
        <v>44404.833333333328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44404.833333333328</v>
      </c>
      <c r="BZ6" s="387">
        <f ca="1">OFFSET(TblImps[[#This Row],[Servertime]],-1,0)+1/24</f>
        <v>44405.083333333328</v>
      </c>
      <c r="CA6" s="141"/>
      <c r="CB6" s="385"/>
      <c r="CC6" s="385"/>
      <c r="CF6" s="388"/>
    </row>
    <row r="7" spans="1:84" x14ac:dyDescent="0.2">
      <c r="A7" s="280">
        <f ca="1">TblConstr[[#This Row],[Land]]</f>
        <v>250</v>
      </c>
      <c r="B7" s="184"/>
      <c r="C7" s="113">
        <f ca="1">TblProd[[#This Row],[Platinum]]</f>
        <v>56790</v>
      </c>
      <c r="D7" s="113">
        <f ca="1">TblProd[[#This Row],[Lumber]]</f>
        <v>10693</v>
      </c>
      <c r="E7" s="113">
        <f ca="1">TblProd[[#This Row],[Ore]]</f>
        <v>0</v>
      </c>
      <c r="F7" s="113">
        <f ca="1">TblProd[[#This Row],[Gems]]</f>
        <v>0</v>
      </c>
      <c r="G7" s="200"/>
      <c r="H7" s="113">
        <f ca="1">TblMili[[#This Row],[Draftees]]</f>
        <v>290</v>
      </c>
      <c r="I7" s="234">
        <f ca="1">TblPop[[#This Row],[Employment]]</f>
        <v>1</v>
      </c>
      <c r="J7" s="234">
        <f ca="1">TblPop[[#This Row],[Total]]/TblPop[[#This Row],[Net max]]</f>
        <v>0.54059156702328504</v>
      </c>
      <c r="K7" s="373">
        <f>TblRezone[[#This Row],[Hour]]</f>
        <v>4</v>
      </c>
      <c r="L7" s="374">
        <f ca="1">TblImps[[#This Row],[Real time]]</f>
        <v>44404.874999999993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44404.874999999993</v>
      </c>
      <c r="BZ7" s="387">
        <f ca="1">OFFSET(TblImps[[#This Row],[Servertime]],-1,0)+1/24</f>
        <v>44405.124999999993</v>
      </c>
      <c r="CA7" s="141"/>
      <c r="CB7" s="385"/>
      <c r="CC7" s="385"/>
      <c r="CF7" s="389"/>
    </row>
    <row r="8" spans="1:84" x14ac:dyDescent="0.2">
      <c r="A8" s="280">
        <f ca="1">TblConstr[[#This Row],[Land]]</f>
        <v>250</v>
      </c>
      <c r="B8" s="184"/>
      <c r="C8" s="113">
        <f ca="1">TblProd[[#This Row],[Platinum]]</f>
        <v>61860</v>
      </c>
      <c r="D8" s="113">
        <f ca="1">TblProd[[#This Row],[Lumber]]</f>
        <v>11586</v>
      </c>
      <c r="E8" s="113">
        <f ca="1">TblProd[[#This Row],[Ore]]</f>
        <v>0</v>
      </c>
      <c r="F8" s="113">
        <f ca="1">TblProd[[#This Row],[Gems]]</f>
        <v>0</v>
      </c>
      <c r="G8" s="200"/>
      <c r="H8" s="113">
        <f ca="1">TblMili[[#This Row],[Draftees]]</f>
        <v>304</v>
      </c>
      <c r="I8" s="234">
        <f ca="1">TblPop[[#This Row],[Employment]]</f>
        <v>1</v>
      </c>
      <c r="J8" s="234">
        <f ca="1">TblPop[[#This Row],[Total]]/TblPop[[#This Row],[Net max]]</f>
        <v>0.55349276274386405</v>
      </c>
      <c r="K8" s="373">
        <f>TblRezone[[#This Row],[Hour]]</f>
        <v>5</v>
      </c>
      <c r="L8" s="374">
        <f ca="1">TblImps[[#This Row],[Real time]]</f>
        <v>44404.916666666657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44404.916666666657</v>
      </c>
      <c r="BZ8" s="387">
        <f ca="1">OFFSET(TblImps[[#This Row],[Servertime]],-1,0)+1/24</f>
        <v>44405.166666666657</v>
      </c>
      <c r="CA8" s="141"/>
      <c r="CB8" s="385"/>
      <c r="CC8" s="385"/>
      <c r="CF8" s="388"/>
    </row>
    <row r="9" spans="1:84" x14ac:dyDescent="0.2">
      <c r="A9" s="280">
        <f ca="1">TblConstr[[#This Row],[Land]]</f>
        <v>250</v>
      </c>
      <c r="B9" s="184"/>
      <c r="C9" s="113">
        <f ca="1">TblProd[[#This Row],[Platinum]]</f>
        <v>67003</v>
      </c>
      <c r="D9" s="113">
        <f ca="1">TblProd[[#This Row],[Lumber]]</f>
        <v>12470</v>
      </c>
      <c r="E9" s="113">
        <f ca="1">TblProd[[#This Row],[Ore]]</f>
        <v>0</v>
      </c>
      <c r="F9" s="113">
        <f ca="1">TblProd[[#This Row],[Gems]]</f>
        <v>0</v>
      </c>
      <c r="G9" s="200"/>
      <c r="H9" s="113">
        <f ca="1">TblMili[[#This Row],[Draftees]]</f>
        <v>318</v>
      </c>
      <c r="I9" s="234">
        <f ca="1">TblPop[[#This Row],[Employment]]</f>
        <v>1</v>
      </c>
      <c r="J9" s="234">
        <f ca="1">TblPop[[#This Row],[Total]]/TblPop[[#This Row],[Net max]]</f>
        <v>0.56670862177470105</v>
      </c>
      <c r="K9" s="373">
        <f>TblRezone[[#This Row],[Hour]]</f>
        <v>6</v>
      </c>
      <c r="L9" s="374">
        <f ca="1">TblImps[[#This Row],[Real time]]</f>
        <v>44404.958333333321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44404.958333333321</v>
      </c>
      <c r="BZ9" s="387">
        <f ca="1">OFFSET(TblImps[[#This Row],[Servertime]],-1,0)+1/24</f>
        <v>44405.208333333321</v>
      </c>
      <c r="CA9" s="141"/>
      <c r="CB9" s="385"/>
      <c r="CC9" s="385"/>
      <c r="CF9" s="388"/>
    </row>
    <row r="10" spans="1:84" x14ac:dyDescent="0.2">
      <c r="A10" s="280">
        <f ca="1">TblConstr[[#This Row],[Land]]</f>
        <v>250</v>
      </c>
      <c r="B10" s="184"/>
      <c r="C10" s="113">
        <f ca="1">TblProd[[#This Row],[Platinum]]</f>
        <v>72222</v>
      </c>
      <c r="D10" s="113">
        <f ca="1">TblProd[[#This Row],[Lumber]]</f>
        <v>13345</v>
      </c>
      <c r="E10" s="113">
        <f ca="1">TblProd[[#This Row],[Ore]]</f>
        <v>0</v>
      </c>
      <c r="F10" s="113">
        <f ca="1">TblProd[[#This Row],[Gems]]</f>
        <v>0</v>
      </c>
      <c r="G10" s="200"/>
      <c r="H10" s="113">
        <f ca="1">TblMili[[#This Row],[Draftees]]</f>
        <v>332</v>
      </c>
      <c r="I10" s="234">
        <f ca="1">TblPop[[#This Row],[Employment]]</f>
        <v>1</v>
      </c>
      <c r="J10" s="234">
        <f ca="1">TblPop[[#This Row],[Total]]/TblPop[[#This Row],[Net max]]</f>
        <v>0.58023914411579613</v>
      </c>
      <c r="K10" s="373">
        <f>TblRezone[[#This Row],[Hour]]</f>
        <v>7</v>
      </c>
      <c r="L10" s="374">
        <f ca="1">TblImps[[#This Row],[Real time]]</f>
        <v>44404.999999999985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44404.999999999985</v>
      </c>
      <c r="BZ10" s="387">
        <f ca="1">OFFSET(TblImps[[#This Row],[Servertime]],-1,0)+1/24</f>
        <v>44405.249999999985</v>
      </c>
      <c r="CA10" s="141"/>
      <c r="CB10" s="385"/>
      <c r="CC10" s="385"/>
    </row>
    <row r="11" spans="1:84" x14ac:dyDescent="0.2">
      <c r="A11" s="280">
        <f ca="1">TblConstr[[#This Row],[Land]]</f>
        <v>250</v>
      </c>
      <c r="B11" s="184"/>
      <c r="C11" s="113">
        <f ca="1">TblProd[[#This Row],[Platinum]]</f>
        <v>77519</v>
      </c>
      <c r="D11" s="113">
        <f ca="1">TblProd[[#This Row],[Lumber]]</f>
        <v>14212</v>
      </c>
      <c r="E11" s="113">
        <f ca="1">TblProd[[#This Row],[Ore]]</f>
        <v>0</v>
      </c>
      <c r="F11" s="113">
        <f ca="1">TblProd[[#This Row],[Gems]]</f>
        <v>0</v>
      </c>
      <c r="G11" s="200"/>
      <c r="H11" s="113">
        <f ca="1">TblMili[[#This Row],[Draftees]]</f>
        <v>347</v>
      </c>
      <c r="I11" s="234">
        <f ca="1">TblPop[[#This Row],[Employment]]</f>
        <v>1</v>
      </c>
      <c r="J11" s="234">
        <f ca="1">TblPop[[#This Row],[Total]]/TblPop[[#This Row],[Net max]]</f>
        <v>0.59376966645689111</v>
      </c>
      <c r="K11" s="373">
        <f>TblRezone[[#This Row],[Hour]]</f>
        <v>8</v>
      </c>
      <c r="L11" s="374">
        <f ca="1">TblImps[[#This Row],[Real time]]</f>
        <v>44405.04166666665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44405.04166666665</v>
      </c>
      <c r="BZ11" s="387">
        <f ca="1">OFFSET(TblImps[[#This Row],[Servertime]],-1,0)+1/24</f>
        <v>44405.29166666665</v>
      </c>
      <c r="CA11" s="141"/>
      <c r="CB11" s="385"/>
      <c r="CC11" s="385"/>
    </row>
    <row r="12" spans="1:84" x14ac:dyDescent="0.2">
      <c r="A12" s="280">
        <f ca="1">TblConstr[[#This Row],[Land]]</f>
        <v>250</v>
      </c>
      <c r="B12" s="184"/>
      <c r="C12" s="113">
        <f ca="1">TblProd[[#This Row],[Platinum]]</f>
        <v>82892</v>
      </c>
      <c r="D12" s="113">
        <f ca="1">TblProd[[#This Row],[Lumber]]</f>
        <v>15070</v>
      </c>
      <c r="E12" s="113">
        <f ca="1">TblProd[[#This Row],[Ore]]</f>
        <v>0</v>
      </c>
      <c r="F12" s="113">
        <f ca="1">TblProd[[#This Row],[Gems]]</f>
        <v>0</v>
      </c>
      <c r="G12" s="200"/>
      <c r="H12" s="113">
        <f ca="1">TblMili[[#This Row],[Draftees]]</f>
        <v>362</v>
      </c>
      <c r="I12" s="234">
        <f ca="1">TblPop[[#This Row],[Employment]]</f>
        <v>1</v>
      </c>
      <c r="J12" s="234">
        <f ca="1">TblPop[[#This Row],[Total]]/TblPop[[#This Row],[Net max]]</f>
        <v>0.60761485210824417</v>
      </c>
      <c r="K12" s="373">
        <f>TblRezone[[#This Row],[Hour]]</f>
        <v>9</v>
      </c>
      <c r="L12" s="374">
        <f ca="1">TblImps[[#This Row],[Real time]]</f>
        <v>44405.083333333314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44405.083333333314</v>
      </c>
      <c r="BZ12" s="387">
        <f ca="1">OFFSET(TblImps[[#This Row],[Servertime]],-1,0)+1/24</f>
        <v>44405.333333333314</v>
      </c>
      <c r="CA12" s="141"/>
      <c r="CB12" s="385"/>
      <c r="CC12" s="385"/>
    </row>
    <row r="13" spans="1:84" x14ac:dyDescent="0.2">
      <c r="A13" s="280">
        <f ca="1">TblConstr[[#This Row],[Land]]</f>
        <v>250</v>
      </c>
      <c r="B13" s="184"/>
      <c r="C13" s="113">
        <f ca="1">TblProd[[#This Row],[Platinum]]</f>
        <v>88343</v>
      </c>
      <c r="D13" s="113">
        <f ca="1">TblProd[[#This Row],[Lumber]]</f>
        <v>15919</v>
      </c>
      <c r="E13" s="113">
        <f ca="1">TblProd[[#This Row],[Ore]]</f>
        <v>0</v>
      </c>
      <c r="F13" s="113">
        <f ca="1">TblProd[[#This Row],[Gems]]</f>
        <v>0</v>
      </c>
      <c r="G13" s="200"/>
      <c r="H13" s="113">
        <f ca="1">TblMili[[#This Row],[Draftees]]</f>
        <v>377</v>
      </c>
      <c r="I13" s="234">
        <f ca="1">TblPop[[#This Row],[Employment]]</f>
        <v>1</v>
      </c>
      <c r="J13" s="234">
        <f ca="1">TblPop[[#This Row],[Total]]/TblPop[[#This Row],[Net max]]</f>
        <v>0.62177470106985522</v>
      </c>
      <c r="K13" s="373">
        <f>TblRezone[[#This Row],[Hour]]</f>
        <v>10</v>
      </c>
      <c r="L13" s="374">
        <f ca="1">TblImps[[#This Row],[Real time]]</f>
        <v>44405.124999999978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44405.124999999978</v>
      </c>
      <c r="BZ13" s="387">
        <f ca="1">OFFSET(TblImps[[#This Row],[Servertime]],-1,0)+1/24</f>
        <v>44405.374999999978</v>
      </c>
      <c r="CA13" s="141"/>
      <c r="CB13" s="385"/>
      <c r="CC13" s="385"/>
    </row>
    <row r="14" spans="1:84" x14ac:dyDescent="0.2">
      <c r="A14" s="280">
        <f ca="1">TblConstr[[#This Row],[Land]]</f>
        <v>250</v>
      </c>
      <c r="B14" s="184"/>
      <c r="C14" s="113">
        <f ca="1">TblProd[[#This Row],[Platinum]]</f>
        <v>93875</v>
      </c>
      <c r="D14" s="113">
        <f ca="1">TblProd[[#This Row],[Lumber]]</f>
        <v>16760</v>
      </c>
      <c r="E14" s="113">
        <f ca="1">TblProd[[#This Row],[Ore]]</f>
        <v>0</v>
      </c>
      <c r="F14" s="113">
        <f ca="1">TblProd[[#This Row],[Gems]]</f>
        <v>0</v>
      </c>
      <c r="G14" s="200"/>
      <c r="H14" s="113">
        <f ca="1">TblMili[[#This Row],[Draftees]]</f>
        <v>392</v>
      </c>
      <c r="I14" s="234">
        <f ca="1">TblPop[[#This Row],[Employment]]</f>
        <v>1</v>
      </c>
      <c r="J14" s="234">
        <f ca="1">TblPop[[#This Row],[Total]]/TblPop[[#This Row],[Net max]]</f>
        <v>0.63624921334172435</v>
      </c>
      <c r="K14" s="373">
        <f>TblRezone[[#This Row],[Hour]]</f>
        <v>11</v>
      </c>
      <c r="L14" s="374">
        <f ca="1">TblImps[[#This Row],[Real time]]</f>
        <v>44405.166666666642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44405.166666666642</v>
      </c>
      <c r="BZ14" s="387">
        <f ca="1">OFFSET(TblImps[[#This Row],[Servertime]],-1,0)+1/24</f>
        <v>44405.416666666642</v>
      </c>
      <c r="CA14" s="141"/>
      <c r="CB14" s="385"/>
      <c r="CC14" s="385"/>
    </row>
    <row r="15" spans="1:84" x14ac:dyDescent="0.2">
      <c r="A15" s="280">
        <f ca="1">TblConstr[[#This Row],[Land]]</f>
        <v>250</v>
      </c>
      <c r="B15" s="184"/>
      <c r="C15" s="113">
        <f ca="1">TblProd[[#This Row],[Platinum]]</f>
        <v>99491</v>
      </c>
      <c r="D15" s="113">
        <f ca="1">TblProd[[#This Row],[Lumber]]</f>
        <v>17592</v>
      </c>
      <c r="E15" s="113">
        <f ca="1">TblProd[[#This Row],[Ore]]</f>
        <v>0</v>
      </c>
      <c r="F15" s="113">
        <f ca="1">TblProd[[#This Row],[Gems]]</f>
        <v>0</v>
      </c>
      <c r="G15" s="200"/>
      <c r="H15" s="113">
        <f ca="1">TblMili[[#This Row],[Draftees]]</f>
        <v>408</v>
      </c>
      <c r="I15" s="234">
        <f ca="1">TblPop[[#This Row],[Employment]]</f>
        <v>1</v>
      </c>
      <c r="J15" s="234">
        <f ca="1">TblPop[[#This Row],[Total]]/TblPop[[#This Row],[Net max]]</f>
        <v>0.65103838892385146</v>
      </c>
      <c r="K15" s="373">
        <f>TblRezone[[#This Row],[Hour]]</f>
        <v>12</v>
      </c>
      <c r="L15" s="374">
        <f ca="1">TblImps[[#This Row],[Real time]]</f>
        <v>44405.208333333307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44405.208333333307</v>
      </c>
      <c r="BZ15" s="387">
        <f ca="1">OFFSET(TblImps[[#This Row],[Servertime]],-1,0)+1/24</f>
        <v>44405.458333333307</v>
      </c>
      <c r="CA15" s="141"/>
      <c r="CB15" s="385"/>
      <c r="CC15" s="385"/>
    </row>
    <row r="16" spans="1:84" x14ac:dyDescent="0.2">
      <c r="A16" s="280">
        <f ca="1">TblConstr[[#This Row],[Land]]</f>
        <v>250</v>
      </c>
      <c r="B16" s="184"/>
      <c r="C16" s="113">
        <f ca="1">TblProd[[#This Row],[Platinum]]</f>
        <v>53340</v>
      </c>
      <c r="D16" s="113">
        <f ca="1">TblProd[[#This Row],[Lumber]]</f>
        <v>15616</v>
      </c>
      <c r="E16" s="113">
        <f ca="1">TblProd[[#This Row],[Ore]]</f>
        <v>0</v>
      </c>
      <c r="F16" s="113">
        <f ca="1">TblProd[[#This Row],[Gems]]</f>
        <v>0</v>
      </c>
      <c r="G16" s="200"/>
      <c r="H16" s="113">
        <f ca="1">TblMili[[#This Row],[Draftees]]</f>
        <v>308</v>
      </c>
      <c r="I16" s="234">
        <f ca="1">TblPop[[#This Row],[Employment]]</f>
        <v>1</v>
      </c>
      <c r="J16" s="234">
        <f ca="1">TblPop[[#This Row],[Total]]/TblPop[[#This Row],[Net max]]</f>
        <v>0.63687853996224042</v>
      </c>
      <c r="K16" s="373">
        <f>TblRezone[[#This Row],[Hour]]</f>
        <v>13</v>
      </c>
      <c r="L16" s="374">
        <f ca="1">TblImps[[#This Row],[Real time]]</f>
        <v>44405.249999999971</v>
      </c>
      <c r="M16" s="74">
        <f>IF(ISERROR(TblImps[[#This Row],[algorithm]]),0,TblImps[[#This Row],[algorithm]]*1)</f>
        <v>1</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16" s="74">
        <f>TblImps[[#This Row],[Login]]</f>
        <v>1</v>
      </c>
      <c r="BX16" s="178"/>
      <c r="BY16" s="386">
        <f ca="1">OFFSET(TblImps[[#This Row],[Real time]],-1,0)+1/24</f>
        <v>44405.249999999971</v>
      </c>
      <c r="BZ16" s="387">
        <f ca="1">OFFSET(TblImps[[#This Row],[Servertime]],-1,0)+1/24</f>
        <v>44405.499999999971</v>
      </c>
      <c r="CA16" s="141"/>
      <c r="CB16" s="385"/>
      <c r="CC16" s="385"/>
    </row>
    <row r="17" spans="1:84" x14ac:dyDescent="0.2">
      <c r="A17" s="280">
        <f ca="1">TblConstr[[#This Row],[Land]]</f>
        <v>250</v>
      </c>
      <c r="B17" s="184"/>
      <c r="C17" s="113">
        <f ca="1">TblProd[[#This Row],[Platinum]]</f>
        <v>59188</v>
      </c>
      <c r="D17" s="113">
        <f ca="1">TblProd[[#This Row],[Lumber]]</f>
        <v>16460</v>
      </c>
      <c r="E17" s="113">
        <f ca="1">TblProd[[#This Row],[Ore]]</f>
        <v>0</v>
      </c>
      <c r="F17" s="113">
        <f ca="1">TblProd[[#This Row],[Gems]]</f>
        <v>0</v>
      </c>
      <c r="G17" s="200"/>
      <c r="H17" s="113">
        <f ca="1">TblMili[[#This Row],[Draftees]]</f>
        <v>325</v>
      </c>
      <c r="I17" s="234">
        <f ca="1">TblPop[[#This Row],[Employment]]</f>
        <v>1</v>
      </c>
      <c r="J17" s="234">
        <f ca="1">TblPop[[#This Row],[Total]]/TblPop[[#This Row],[Net max]]</f>
        <v>0.52451225612806407</v>
      </c>
      <c r="K17" s="373">
        <f>TblRezone[[#This Row],[Hour]]</f>
        <v>14</v>
      </c>
      <c r="L17" s="374">
        <f ca="1">TblImps[[#This Row],[Real time]]</f>
        <v>44405.291666666635</v>
      </c>
      <c r="M17" s="74">
        <f>IF(ISERROR(TblImps[[#This Row],[algorithm]]),0,TblImps[[#This Row],[algorithm]]*1)</f>
        <v>1</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17" s="74">
        <f>TblImps[[#This Row],[Login]]</f>
        <v>1</v>
      </c>
      <c r="BX17" s="178"/>
      <c r="BY17" s="386">
        <f ca="1">OFFSET(TblImps[[#This Row],[Real time]],-1,0)+1/24</f>
        <v>44405.291666666635</v>
      </c>
      <c r="BZ17" s="387">
        <f ca="1">OFFSET(TblImps[[#This Row],[Servertime]],-1,0)+1/24</f>
        <v>44405.541666666635</v>
      </c>
      <c r="CA17" s="141"/>
      <c r="CB17" s="385"/>
      <c r="CC17" s="385"/>
      <c r="CD17" s="205"/>
    </row>
    <row r="18" spans="1:84" x14ac:dyDescent="0.2">
      <c r="A18" s="280">
        <f ca="1">TblConstr[[#This Row],[Land]]</f>
        <v>250</v>
      </c>
      <c r="B18" s="184"/>
      <c r="C18" s="113">
        <f ca="1">TblProd[[#This Row],[Platinum]]</f>
        <v>65187</v>
      </c>
      <c r="D18" s="113">
        <f ca="1">TblProd[[#This Row],[Lumber]]</f>
        <v>17295</v>
      </c>
      <c r="E18" s="113">
        <f ca="1">TblProd[[#This Row],[Ore]]</f>
        <v>0</v>
      </c>
      <c r="F18" s="113">
        <f ca="1">TblProd[[#This Row],[Gems]]</f>
        <v>0</v>
      </c>
      <c r="G18" s="200"/>
      <c r="H18" s="113">
        <f ca="1">TblMili[[#This Row],[Draftees]]</f>
        <v>342</v>
      </c>
      <c r="I18" s="234">
        <f ca="1">TblPop[[#This Row],[Employment]]</f>
        <v>1</v>
      </c>
      <c r="J18" s="234">
        <f ca="1">TblPop[[#This Row],[Total]]/TblPop[[#This Row],[Net max]]</f>
        <v>0.54977488744372183</v>
      </c>
      <c r="K18" s="373">
        <f>TblRezone[[#This Row],[Hour]]</f>
        <v>15</v>
      </c>
      <c r="L18" s="374">
        <f ca="1">TblImps[[#This Row],[Real time]]</f>
        <v>44405.333333333299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44405.333333333299</v>
      </c>
      <c r="BZ18" s="387">
        <f ca="1">OFFSET(TblImps[[#This Row],[Servertime]],-1,0)+1/24</f>
        <v>44405.583333333299</v>
      </c>
      <c r="CA18" s="390"/>
      <c r="CB18" s="385"/>
      <c r="CC18" s="385"/>
      <c r="CF18" s="388"/>
    </row>
    <row r="19" spans="1:84" x14ac:dyDescent="0.2">
      <c r="A19" s="280">
        <f ca="1">TblConstr[[#This Row],[Land]]</f>
        <v>250</v>
      </c>
      <c r="B19" s="184"/>
      <c r="C19" s="113">
        <f ca="1">TblProd[[#This Row],[Platinum]]</f>
        <v>71413</v>
      </c>
      <c r="D19" s="113">
        <f ca="1">TblProd[[#This Row],[Lumber]]</f>
        <v>18122</v>
      </c>
      <c r="E19" s="113">
        <f ca="1">TblProd[[#This Row],[Ore]]</f>
        <v>0</v>
      </c>
      <c r="F19" s="113">
        <f ca="1">TblProd[[#This Row],[Gems]]</f>
        <v>0</v>
      </c>
      <c r="G19" s="200"/>
      <c r="H19" s="113">
        <f ca="1">TblMili[[#This Row],[Draftees]]</f>
        <v>360</v>
      </c>
      <c r="I19" s="234">
        <f ca="1">TblPop[[#This Row],[Employment]]</f>
        <v>1</v>
      </c>
      <c r="J19" s="234">
        <f ca="1">TblPop[[#This Row],[Total]]/TblPop[[#This Row],[Net max]]</f>
        <v>0.57628814407203599</v>
      </c>
      <c r="K19" s="373">
        <f>TblRezone[[#This Row],[Hour]]</f>
        <v>16</v>
      </c>
      <c r="L19" s="374">
        <f ca="1">TblImps[[#This Row],[Real time]]</f>
        <v>44405.374999999964</v>
      </c>
      <c r="M19" s="74">
        <f>IF(ISERROR(TblImps[[#This Row],[algorithm]]),0,TblImps[[#This Row],[algorithm]]*1)</f>
        <v>1</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19" s="74">
        <f>TblImps[[#This Row],[Login]]</f>
        <v>1</v>
      </c>
      <c r="BX19" s="178"/>
      <c r="BY19" s="386">
        <f ca="1">OFFSET(TblImps[[#This Row],[Real time]],-1,0)+1/24</f>
        <v>44405.374999999964</v>
      </c>
      <c r="BZ19" s="387">
        <f ca="1">OFFSET(TblImps[[#This Row],[Servertime]],-1,0)+1/24</f>
        <v>44405.624999999964</v>
      </c>
      <c r="CA19" s="141"/>
      <c r="CB19" s="385"/>
      <c r="CC19" s="385"/>
      <c r="CF19" s="389"/>
    </row>
    <row r="20" spans="1:84" x14ac:dyDescent="0.2">
      <c r="A20" s="280">
        <f ca="1">TblConstr[[#This Row],[Land]]</f>
        <v>250</v>
      </c>
      <c r="B20" s="184"/>
      <c r="C20" s="113">
        <f ca="1">TblProd[[#This Row],[Platinum]]</f>
        <v>78523</v>
      </c>
      <c r="D20" s="113">
        <f ca="1">TblProd[[#This Row],[Lumber]]</f>
        <v>18941</v>
      </c>
      <c r="E20" s="113">
        <f ca="1">TblProd[[#This Row],[Ore]]</f>
        <v>0</v>
      </c>
      <c r="F20" s="113">
        <f ca="1">TblProd[[#This Row],[Gems]]</f>
        <v>0</v>
      </c>
      <c r="G20" s="200"/>
      <c r="H20" s="113">
        <f ca="1">TblMili[[#This Row],[Draftees]]</f>
        <v>379</v>
      </c>
      <c r="I20" s="234">
        <f ca="1">TblPop[[#This Row],[Employment]]</f>
        <v>1</v>
      </c>
      <c r="J20" s="234">
        <f ca="1">TblPop[[#This Row],[Total]]/TblPop[[#This Row],[Net max]]</f>
        <v>0.60405202601300645</v>
      </c>
      <c r="K20" s="373">
        <f>TblRezone[[#This Row],[Hour]]</f>
        <v>17</v>
      </c>
      <c r="L20" s="374">
        <f ca="1">TblImps[[#This Row],[Real time]]</f>
        <v>44405.416666666628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44405.416666666628</v>
      </c>
      <c r="BZ20" s="387">
        <f ca="1">OFFSET(TblImps[[#This Row],[Servertime]],-1,0)+1/24</f>
        <v>44405.666666666628</v>
      </c>
      <c r="CA20" s="141"/>
      <c r="CB20" s="385"/>
      <c r="CC20" s="385"/>
      <c r="CF20" s="388"/>
    </row>
    <row r="21" spans="1:84" x14ac:dyDescent="0.2">
      <c r="A21" s="280">
        <f ca="1">TblConstr[[#This Row],[Land]]</f>
        <v>250</v>
      </c>
      <c r="B21" s="184"/>
      <c r="C21" s="113">
        <f ca="1">TblProd[[#This Row],[Platinum]]</f>
        <v>85906</v>
      </c>
      <c r="D21" s="113">
        <f ca="1">TblProd[[#This Row],[Lumber]]</f>
        <v>19752</v>
      </c>
      <c r="E21" s="113">
        <f ca="1">TblProd[[#This Row],[Ore]]</f>
        <v>0</v>
      </c>
      <c r="F21" s="113">
        <f ca="1">TblProd[[#This Row],[Gems]]</f>
        <v>0</v>
      </c>
      <c r="G21" s="200"/>
      <c r="H21" s="113">
        <f ca="1">TblMili[[#This Row],[Draftees]]</f>
        <v>399</v>
      </c>
      <c r="I21" s="234">
        <f ca="1">TblPop[[#This Row],[Employment]]</f>
        <v>1</v>
      </c>
      <c r="J21" s="234">
        <f ca="1">TblPop[[#This Row],[Total]]/TblPop[[#This Row],[Net max]]</f>
        <v>0.63331665832916462</v>
      </c>
      <c r="K21" s="373">
        <f>TblRezone[[#This Row],[Hour]]</f>
        <v>18</v>
      </c>
      <c r="L21" s="374">
        <f ca="1">TblImps[[#This Row],[Real time]]</f>
        <v>44405.458333333292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44405.458333333292</v>
      </c>
      <c r="BZ21" s="387">
        <f ca="1">OFFSET(TblImps[[#This Row],[Servertime]],-1,0)+1/24</f>
        <v>44405.708333333292</v>
      </c>
      <c r="CA21" s="141"/>
      <c r="CB21" s="385"/>
      <c r="CC21" s="385"/>
      <c r="CF21" s="388"/>
    </row>
    <row r="22" spans="1:84" x14ac:dyDescent="0.2">
      <c r="A22" s="280">
        <f ca="1">TblConstr[[#This Row],[Land]]</f>
        <v>250</v>
      </c>
      <c r="B22" s="184"/>
      <c r="C22" s="113">
        <f ca="1">TblProd[[#This Row],[Platinum]]</f>
        <v>93577</v>
      </c>
      <c r="D22" s="113">
        <f ca="1">TblProd[[#This Row],[Lumber]]</f>
        <v>20554</v>
      </c>
      <c r="E22" s="113">
        <f ca="1">TblProd[[#This Row],[Ore]]</f>
        <v>0</v>
      </c>
      <c r="F22" s="113">
        <f ca="1">TblProd[[#This Row],[Gems]]</f>
        <v>0</v>
      </c>
      <c r="G22" s="200"/>
      <c r="H22" s="113">
        <f ca="1">TblMili[[#This Row],[Draftees]]</f>
        <v>420</v>
      </c>
      <c r="I22" s="234">
        <f ca="1">TblPop[[#This Row],[Employment]]</f>
        <v>1</v>
      </c>
      <c r="J22" s="234">
        <f ca="1">TblPop[[#This Row],[Total]]/TblPop[[#This Row],[Net max]]</f>
        <v>0.66383191595797897</v>
      </c>
      <c r="K22" s="373">
        <f>TblRezone[[#This Row],[Hour]]</f>
        <v>19</v>
      </c>
      <c r="L22" s="374">
        <f ca="1">TblImps[[#This Row],[Real time]]</f>
        <v>44405.499999999956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44405.499999999956</v>
      </c>
      <c r="BZ22" s="387">
        <f ca="1">OFFSET(TblImps[[#This Row],[Servertime]],-1,0)+1/24</f>
        <v>44405.749999999956</v>
      </c>
      <c r="CA22" s="141"/>
      <c r="CB22" s="385"/>
      <c r="CC22" s="385"/>
    </row>
    <row r="23" spans="1:84" x14ac:dyDescent="0.2">
      <c r="A23" s="280">
        <f ca="1">TblConstr[[#This Row],[Land]]</f>
        <v>250</v>
      </c>
      <c r="B23" s="184"/>
      <c r="C23" s="113">
        <f ca="1">TblProd[[#This Row],[Platinum]]</f>
        <v>101548</v>
      </c>
      <c r="D23" s="113">
        <f ca="1">TblProd[[#This Row],[Lumber]]</f>
        <v>21348</v>
      </c>
      <c r="E23" s="113">
        <f ca="1">TblProd[[#This Row],[Ore]]</f>
        <v>0</v>
      </c>
      <c r="F23" s="113">
        <f ca="1">TblProd[[#This Row],[Gems]]</f>
        <v>0</v>
      </c>
      <c r="G23" s="200"/>
      <c r="H23" s="113">
        <f ca="1">TblMili[[#This Row],[Draftees]]</f>
        <v>442</v>
      </c>
      <c r="I23" s="234">
        <f ca="1">TblPop[[#This Row],[Employment]]</f>
        <v>1</v>
      </c>
      <c r="J23" s="234">
        <f ca="1">TblPop[[#This Row],[Total]]/TblPop[[#This Row],[Net max]]</f>
        <v>0.69584792396198103</v>
      </c>
      <c r="K23" s="373">
        <f>TblRezone[[#This Row],[Hour]]</f>
        <v>20</v>
      </c>
      <c r="L23" s="374">
        <f ca="1">TblImps[[#This Row],[Real time]]</f>
        <v>44405.541666666621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44405.541666666621</v>
      </c>
      <c r="BZ23" s="387">
        <f ca="1">OFFSET(TblImps[[#This Row],[Servertime]],-1,0)+1/24</f>
        <v>44405.791666666621</v>
      </c>
      <c r="CA23" s="141"/>
      <c r="CB23" s="385"/>
      <c r="CC23" s="385"/>
    </row>
    <row r="24" spans="1:84" x14ac:dyDescent="0.2">
      <c r="A24" s="280">
        <f ca="1">TblConstr[[#This Row],[Land]]</f>
        <v>250</v>
      </c>
      <c r="B24" s="184"/>
      <c r="C24" s="113">
        <f ca="1">TblProd[[#This Row],[Platinum]]</f>
        <v>109834</v>
      </c>
      <c r="D24" s="113">
        <f ca="1">TblProd[[#This Row],[Lumber]]</f>
        <v>22135</v>
      </c>
      <c r="E24" s="113">
        <f ca="1">TblProd[[#This Row],[Ore]]</f>
        <v>0</v>
      </c>
      <c r="F24" s="113">
        <f ca="1">TblProd[[#This Row],[Gems]]</f>
        <v>0</v>
      </c>
      <c r="G24" s="200"/>
      <c r="H24" s="113">
        <f ca="1">TblMili[[#This Row],[Draftees]]</f>
        <v>465</v>
      </c>
      <c r="I24" s="234">
        <f ca="1">TblPop[[#This Row],[Employment]]</f>
        <v>1</v>
      </c>
      <c r="J24" s="234">
        <f ca="1">TblPop[[#This Row],[Total]]/TblPop[[#This Row],[Net max]]</f>
        <v>0.72961480740370188</v>
      </c>
      <c r="K24" s="373">
        <f>TblRezone[[#This Row],[Hour]]</f>
        <v>21</v>
      </c>
      <c r="L24" s="374">
        <f ca="1">TblImps[[#This Row],[Real time]]</f>
        <v>44405.583333333285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44405.583333333285</v>
      </c>
      <c r="BZ24" s="387">
        <f ca="1">OFFSET(TblImps[[#This Row],[Servertime]],-1,0)+1/24</f>
        <v>44405.833333333285</v>
      </c>
      <c r="CA24" s="141"/>
      <c r="CB24" s="385"/>
      <c r="CC24" s="385"/>
    </row>
    <row r="25" spans="1:84" x14ac:dyDescent="0.2">
      <c r="A25" s="280">
        <f ca="1">TblConstr[[#This Row],[Land]]</f>
        <v>250</v>
      </c>
      <c r="B25" s="184"/>
      <c r="C25" s="113">
        <f ca="1">TblProd[[#This Row],[Platinum]]</f>
        <v>118452</v>
      </c>
      <c r="D25" s="113">
        <f ca="1">TblProd[[#This Row],[Lumber]]</f>
        <v>22914</v>
      </c>
      <c r="E25" s="113">
        <f ca="1">TblProd[[#This Row],[Ore]]</f>
        <v>0</v>
      </c>
      <c r="F25" s="113">
        <f ca="1">TblProd[[#This Row],[Gems]]</f>
        <v>0</v>
      </c>
      <c r="G25" s="200"/>
      <c r="H25" s="113">
        <f ca="1">TblMili[[#This Row],[Draftees]]</f>
        <v>489</v>
      </c>
      <c r="I25" s="234">
        <f ca="1">TblPop[[#This Row],[Employment]]</f>
        <v>1</v>
      </c>
      <c r="J25" s="234">
        <f ca="1">TblPop[[#This Row],[Total]]/TblPop[[#This Row],[Net max]]</f>
        <v>0.76488244122061033</v>
      </c>
      <c r="K25" s="373">
        <f>TblRezone[[#This Row],[Hour]]</f>
        <v>22</v>
      </c>
      <c r="L25" s="374">
        <f ca="1">TblImps[[#This Row],[Real time]]</f>
        <v>44405.624999999949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44405.624999999949</v>
      </c>
      <c r="BZ25" s="387">
        <f ca="1">OFFSET(TblImps[[#This Row],[Servertime]],-1,0)+1/24</f>
        <v>44405.874999999949</v>
      </c>
      <c r="CA25" s="141"/>
      <c r="CB25" s="385"/>
      <c r="CC25" s="385"/>
    </row>
    <row r="26" spans="1:84" x14ac:dyDescent="0.2">
      <c r="A26" s="280">
        <f ca="1">TblConstr[[#This Row],[Land]]</f>
        <v>250</v>
      </c>
      <c r="B26" s="184"/>
      <c r="C26" s="113">
        <f ca="1">TblProd[[#This Row],[Platinum]]</f>
        <v>127418</v>
      </c>
      <c r="D26" s="113">
        <f ca="1">TblProd[[#This Row],[Lumber]]</f>
        <v>23685</v>
      </c>
      <c r="E26" s="113">
        <f ca="1">TblProd[[#This Row],[Ore]]</f>
        <v>0</v>
      </c>
      <c r="F26" s="113">
        <f ca="1">TblProd[[#This Row],[Gems]]</f>
        <v>0</v>
      </c>
      <c r="G26" s="200"/>
      <c r="H26" s="113">
        <f ca="1">TblMili[[#This Row],[Draftees]]</f>
        <v>514</v>
      </c>
      <c r="I26" s="234">
        <f ca="1">TblPop[[#This Row],[Employment]]</f>
        <v>1</v>
      </c>
      <c r="J26" s="234">
        <f ca="1">TblPop[[#This Row],[Total]]/TblPop[[#This Row],[Net max]]</f>
        <v>0.80190095047523757</v>
      </c>
      <c r="K26" s="373">
        <f>TblRezone[[#This Row],[Hour]]</f>
        <v>23</v>
      </c>
      <c r="L26" s="374">
        <f ca="1">TblImps[[#This Row],[Real time]]</f>
        <v>44405.666666666613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44405.666666666613</v>
      </c>
      <c r="BZ26" s="387">
        <f ca="1">OFFSET(TblImps[[#This Row],[Servertime]],-1,0)+1/24</f>
        <v>44405.916666666613</v>
      </c>
      <c r="CA26" s="141"/>
      <c r="CB26" s="385"/>
      <c r="CC26" s="385"/>
    </row>
    <row r="27" spans="1:84" x14ac:dyDescent="0.2">
      <c r="A27" s="280">
        <f ca="1">TblConstr[[#This Row],[Land]]</f>
        <v>270</v>
      </c>
      <c r="B27" s="184"/>
      <c r="C27" s="113">
        <f ca="1">TblProd[[#This Row],[Platinum]]</f>
        <v>26283</v>
      </c>
      <c r="D27" s="113">
        <f ca="1">TblProd[[#This Row],[Lumber]]</f>
        <v>23748</v>
      </c>
      <c r="E27" s="113">
        <f ca="1">TblProd[[#This Row],[Ore]]</f>
        <v>0</v>
      </c>
      <c r="F27" s="113">
        <f ca="1">TblProd[[#This Row],[Gems]]</f>
        <v>0</v>
      </c>
      <c r="G27" s="200"/>
      <c r="H27" s="113">
        <f ca="1">TblMili[[#This Row],[Draftees]]</f>
        <v>0</v>
      </c>
      <c r="I27" s="234">
        <f ca="1">TblPop[[#This Row],[Employment]]</f>
        <v>1</v>
      </c>
      <c r="J27" s="234">
        <f ca="1">TblPop[[#This Row],[Total]]/TblPop[[#This Row],[Net max]]</f>
        <v>0.70560280140070031</v>
      </c>
      <c r="K27" s="373">
        <f>TblRezone[[#This Row],[Hour]]</f>
        <v>24</v>
      </c>
      <c r="L27" s="374">
        <f ca="1">TblImps[[#This Row],[Real time]]</f>
        <v>44405.708333333278</v>
      </c>
      <c r="M27" s="74">
        <f>IF(ISERROR(TblImps[[#This Row],[algorithm]]),0,TblImps[[#This Row],[algorithm]]*1)</f>
        <v>1</v>
      </c>
      <c r="N27" s="113">
        <f ca="1">TblImps[[#This Row],[Land]]</f>
        <v>270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27" s="74">
        <f>TblImps[[#This Row],[Login]]</f>
        <v>1</v>
      </c>
      <c r="BX27" s="178"/>
      <c r="BY27" s="386">
        <f ca="1">OFFSET(TblImps[[#This Row],[Real time]],-1,0)+1/24</f>
        <v>44405.708333333278</v>
      </c>
      <c r="BZ27" s="387">
        <f ca="1">OFFSET(TblImps[[#This Row],[Servertime]],-1,0)+1/24</f>
        <v>44405.958333333278</v>
      </c>
      <c r="CA27" s="141"/>
      <c r="CB27" s="385"/>
      <c r="CC27" s="385"/>
    </row>
    <row r="28" spans="1:84" x14ac:dyDescent="0.2">
      <c r="A28" s="280">
        <f ca="1">TblConstr[[#This Row],[Land]]</f>
        <v>299</v>
      </c>
      <c r="B28" s="184"/>
      <c r="C28" s="113">
        <f ca="1">TblProd[[#This Row],[Platinum]]</f>
        <v>28117</v>
      </c>
      <c r="D28" s="113">
        <f ca="1">TblProd[[#This Row],[Lumber]]</f>
        <v>23496</v>
      </c>
      <c r="E28" s="113">
        <f ca="1">TblProd[[#This Row],[Ore]]</f>
        <v>1200</v>
      </c>
      <c r="F28" s="113">
        <f ca="1">TblProd[[#This Row],[Gems]]</f>
        <v>0</v>
      </c>
      <c r="G28" s="200"/>
      <c r="H28" s="113">
        <f ca="1">TblMili[[#This Row],[Draftees]]</f>
        <v>28</v>
      </c>
      <c r="I28" s="234">
        <f ca="1">TblPop[[#This Row],[Employment]]</f>
        <v>1</v>
      </c>
      <c r="J28" s="234">
        <f ca="1">TblPop[[#This Row],[Total]]/TblPop[[#This Row],[Net max]]</f>
        <v>0.66838796587337224</v>
      </c>
      <c r="K28" s="373">
        <f>TblRezone[[#This Row],[Hour]]</f>
        <v>25</v>
      </c>
      <c r="L28" s="374">
        <f ca="1">TblImps[[#This Row],[Real time]]</f>
        <v>44405.749999999942</v>
      </c>
      <c r="M28" s="74">
        <f>IF(ISERROR(TblImps[[#This Row],[algorithm]]),0,TblImps[[#This Row],[algorithm]]*1)</f>
        <v>1</v>
      </c>
      <c r="N28" s="113">
        <f ca="1">TblImps[[#This Row],[Land]]</f>
        <v>299</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28" s="74">
        <f>TblImps[[#This Row],[Login]]</f>
        <v>1</v>
      </c>
      <c r="BX28" s="178"/>
      <c r="BY28" s="386">
        <f ca="1">OFFSET(TblImps[[#This Row],[Real time]],-1,0)+1/24</f>
        <v>44405.749999999942</v>
      </c>
      <c r="BZ28" s="387">
        <f ca="1">OFFSET(TblImps[[#This Row],[Servertime]],-1,0)+1/24</f>
        <v>44405.999999999942</v>
      </c>
      <c r="CA28" s="141"/>
      <c r="CB28" s="385"/>
      <c r="CC28" s="385"/>
    </row>
    <row r="29" spans="1:84" x14ac:dyDescent="0.2">
      <c r="A29" s="280">
        <f ca="1">TblConstr[[#This Row],[Land]]</f>
        <v>299</v>
      </c>
      <c r="B29" s="184"/>
      <c r="C29" s="113">
        <f ca="1">TblProd[[#This Row],[Platinum]]</f>
        <v>40192</v>
      </c>
      <c r="D29" s="113">
        <f ca="1">TblProd[[#This Row],[Lumber]]</f>
        <v>24261</v>
      </c>
      <c r="E29" s="113">
        <f ca="1">TblProd[[#This Row],[Ore]]</f>
        <v>2400</v>
      </c>
      <c r="F29" s="113">
        <f ca="1">TblProd[[#This Row],[Gems]]</f>
        <v>0</v>
      </c>
      <c r="G29" s="200"/>
      <c r="H29" s="113">
        <f ca="1">TblMili[[#This Row],[Draftees]]</f>
        <v>57</v>
      </c>
      <c r="I29" s="234">
        <f ca="1">TblPop[[#This Row],[Employment]]</f>
        <v>1</v>
      </c>
      <c r="J29" s="234">
        <f ca="1">TblPop[[#This Row],[Total]]/TblPop[[#This Row],[Net max]]</f>
        <v>0.66112397390023148</v>
      </c>
      <c r="K29" s="373">
        <f>TblRezone[[#This Row],[Hour]]</f>
        <v>26</v>
      </c>
      <c r="L29" s="374">
        <f ca="1">TblImps[[#This Row],[Real time]]</f>
        <v>44405.791666666606</v>
      </c>
      <c r="M29" s="74">
        <f>IF(ISERROR(TblImps[[#This Row],[algorithm]]),0,TblImps[[#This Row],[algorithm]]*1)</f>
        <v>1</v>
      </c>
      <c r="N29" s="113">
        <f ca="1">TblImps[[#This Row],[Land]]</f>
        <v>299</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29" s="74">
        <f>TblImps[[#This Row],[Login]]</f>
        <v>1</v>
      </c>
      <c r="BX29" s="178"/>
      <c r="BY29" s="386">
        <f ca="1">OFFSET(TblImps[[#This Row],[Real time]],-1,0)+1/24</f>
        <v>44405.791666666606</v>
      </c>
      <c r="BZ29" s="387">
        <f ca="1">OFFSET(TblImps[[#This Row],[Servertime]],-1,0)+1/24</f>
        <v>44406.041666666606</v>
      </c>
      <c r="CA29" s="141"/>
      <c r="CB29" s="385"/>
      <c r="CC29" s="385"/>
    </row>
    <row r="30" spans="1:84" x14ac:dyDescent="0.2">
      <c r="A30" s="280">
        <f ca="1">TblConstr[[#This Row],[Land]]</f>
        <v>299</v>
      </c>
      <c r="B30" s="184"/>
      <c r="C30" s="113">
        <f ca="1">TblProd[[#This Row],[Platinum]]</f>
        <v>52667</v>
      </c>
      <c r="D30" s="113">
        <f ca="1">TblProd[[#This Row],[Lumber]]</f>
        <v>25018</v>
      </c>
      <c r="E30" s="113">
        <f ca="1">TblProd[[#This Row],[Ore]]</f>
        <v>3600</v>
      </c>
      <c r="F30" s="113">
        <f ca="1">TblProd[[#This Row],[Gems]]</f>
        <v>0</v>
      </c>
      <c r="G30" s="200"/>
      <c r="H30" s="113">
        <f ca="1">TblMili[[#This Row],[Draftees]]</f>
        <v>87</v>
      </c>
      <c r="I30" s="234">
        <f ca="1">TblPop[[#This Row],[Employment]]</f>
        <v>1</v>
      </c>
      <c r="J30" s="234">
        <f ca="1">TblPop[[#This Row],[Total]]/TblPop[[#This Row],[Net max]]</f>
        <v>0.6971163965480951</v>
      </c>
      <c r="K30" s="373">
        <f>TblRezone[[#This Row],[Hour]]</f>
        <v>27</v>
      </c>
      <c r="L30" s="374">
        <f ca="1">TblImps[[#This Row],[Real time]]</f>
        <v>44405.83333333327</v>
      </c>
      <c r="M30" s="74">
        <f>IF(ISERROR(TblImps[[#This Row],[algorithm]]),0,TblImps[[#This Row],[algorithm]]*1)</f>
        <v>0</v>
      </c>
      <c r="N30" s="113">
        <f ca="1">TblImps[[#This Row],[Land]]</f>
        <v>299</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44405.83333333327</v>
      </c>
      <c r="BZ30" s="387">
        <f ca="1">OFFSET(TblImps[[#This Row],[Servertime]],-1,0)+1/24</f>
        <v>44406.08333333327</v>
      </c>
      <c r="CA30" s="141"/>
      <c r="CB30" s="385"/>
      <c r="CC30" s="385"/>
      <c r="CD30" s="59" t="s">
        <v>4</v>
      </c>
    </row>
    <row r="31" spans="1:84" x14ac:dyDescent="0.2">
      <c r="A31" s="280">
        <f ca="1">TblConstr[[#This Row],[Land]]</f>
        <v>299</v>
      </c>
      <c r="B31" s="184"/>
      <c r="C31" s="113">
        <f ca="1">TblProd[[#This Row],[Platinum]]</f>
        <v>65561</v>
      </c>
      <c r="D31" s="113">
        <f ca="1">TblProd[[#This Row],[Lumber]]</f>
        <v>25768</v>
      </c>
      <c r="E31" s="113">
        <f ca="1">TblProd[[#This Row],[Ore]]</f>
        <v>4800</v>
      </c>
      <c r="F31" s="113">
        <f ca="1">TblProd[[#This Row],[Gems]]</f>
        <v>0</v>
      </c>
      <c r="G31" s="200"/>
      <c r="H31" s="113">
        <f ca="1">TblMili[[#This Row],[Draftees]]</f>
        <v>119</v>
      </c>
      <c r="I31" s="234">
        <f ca="1">TblPop[[#This Row],[Employment]]</f>
        <v>1</v>
      </c>
      <c r="J31" s="234">
        <f ca="1">TblPop[[#This Row],[Total]]/TblPop[[#This Row],[Net max]]</f>
        <v>0.73479267522626812</v>
      </c>
      <c r="K31" s="373">
        <f>TblRezone[[#This Row],[Hour]]</f>
        <v>28</v>
      </c>
      <c r="L31" s="374">
        <f ca="1">TblImps[[#This Row],[Real time]]</f>
        <v>44405.874999999935</v>
      </c>
      <c r="M31" s="74">
        <f>IF(ISERROR(TblImps[[#This Row],[algorithm]]),0,TblImps[[#This Row],[algorithm]]*1)</f>
        <v>1</v>
      </c>
      <c r="N31" s="113">
        <f ca="1">TblImps[[#This Row],[Land]]</f>
        <v>299</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31" s="74">
        <f>TblImps[[#This Row],[Login]]</f>
        <v>1</v>
      </c>
      <c r="BX31" s="178"/>
      <c r="BY31" s="386">
        <f ca="1">OFFSET(TblImps[[#This Row],[Real time]],-1,0)+1/24</f>
        <v>44405.874999999935</v>
      </c>
      <c r="BZ31" s="387">
        <f ca="1">OFFSET(TblImps[[#This Row],[Servertime]],-1,0)+1/24</f>
        <v>44406.124999999935</v>
      </c>
      <c r="CA31" s="141"/>
      <c r="CB31" s="385"/>
      <c r="CC31" s="385"/>
      <c r="CD31" s="59" t="s">
        <v>7</v>
      </c>
    </row>
    <row r="32" spans="1:84" x14ac:dyDescent="0.2">
      <c r="A32" s="280">
        <f ca="1">TblConstr[[#This Row],[Land]]</f>
        <v>299</v>
      </c>
      <c r="B32" s="184"/>
      <c r="C32" s="113">
        <f ca="1">TblProd[[#This Row],[Platinum]]</f>
        <v>78892</v>
      </c>
      <c r="D32" s="113">
        <f ca="1">TblProd[[#This Row],[Lumber]]</f>
        <v>26510</v>
      </c>
      <c r="E32" s="113">
        <f ca="1">TblProd[[#This Row],[Ore]]</f>
        <v>6000</v>
      </c>
      <c r="F32" s="113">
        <f ca="1">TblProd[[#This Row],[Gems]]</f>
        <v>0</v>
      </c>
      <c r="G32" s="200"/>
      <c r="H32" s="113">
        <f ca="1">TblMili[[#This Row],[Draftees]]</f>
        <v>152</v>
      </c>
      <c r="I32" s="234">
        <f ca="1">TblPop[[#This Row],[Employment]]</f>
        <v>1</v>
      </c>
      <c r="J32" s="234">
        <f ca="1">TblPop[[#This Row],[Total]]/TblPop[[#This Row],[Net max]]</f>
        <v>0.77436329193853926</v>
      </c>
      <c r="K32" s="373">
        <f>TblRezone[[#This Row],[Hour]]</f>
        <v>29</v>
      </c>
      <c r="L32" s="374">
        <f ca="1">TblImps[[#This Row],[Real time]]</f>
        <v>44405.916666666599</v>
      </c>
      <c r="M32" s="74">
        <f>IF(ISERROR(TblImps[[#This Row],[algorithm]]),0,TblImps[[#This Row],[algorithm]]*1)</f>
        <v>0</v>
      </c>
      <c r="N32" s="113">
        <f ca="1">TblImps[[#This Row],[Land]]</f>
        <v>299</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44405.916666666599</v>
      </c>
      <c r="BZ32" s="387">
        <f ca="1">OFFSET(TblImps[[#This Row],[Servertime]],-1,0)+1/24</f>
        <v>44406.166666666599</v>
      </c>
      <c r="CA32" s="141"/>
      <c r="CB32" s="385"/>
      <c r="CC32" s="385"/>
      <c r="CD32" s="59" t="s">
        <v>3</v>
      </c>
    </row>
    <row r="33" spans="1:82" x14ac:dyDescent="0.2">
      <c r="A33" s="280">
        <f ca="1">TblConstr[[#This Row],[Land]]</f>
        <v>299</v>
      </c>
      <c r="B33" s="184"/>
      <c r="C33" s="113">
        <f ca="1">TblProd[[#This Row],[Platinum]]</f>
        <v>92683</v>
      </c>
      <c r="D33" s="113">
        <f ca="1">TblProd[[#This Row],[Lumber]]</f>
        <v>27245</v>
      </c>
      <c r="E33" s="113">
        <f ca="1">TblProd[[#This Row],[Ore]]</f>
        <v>7200</v>
      </c>
      <c r="F33" s="113">
        <f ca="1">TblProd[[#This Row],[Gems]]</f>
        <v>0</v>
      </c>
      <c r="G33" s="200"/>
      <c r="H33" s="113">
        <f ca="1">TblMili[[#This Row],[Draftees]]</f>
        <v>187</v>
      </c>
      <c r="I33" s="234">
        <f ca="1">TblPop[[#This Row],[Employment]]</f>
        <v>1</v>
      </c>
      <c r="J33" s="234">
        <f ca="1">TblPop[[#This Row],[Total]]/TblPop[[#This Row],[Net max]]</f>
        <v>0.81561776468111979</v>
      </c>
      <c r="K33" s="373">
        <f>TblRezone[[#This Row],[Hour]]</f>
        <v>30</v>
      </c>
      <c r="L33" s="374">
        <f ca="1">TblImps[[#This Row],[Real time]]</f>
        <v>44405.958333333263</v>
      </c>
      <c r="M33" s="74">
        <f>IF(ISERROR(TblImps[[#This Row],[algorithm]]),0,TblImps[[#This Row],[algorithm]]*1)</f>
        <v>0</v>
      </c>
      <c r="N33" s="113">
        <f ca="1">TblImps[[#This Row],[Land]]</f>
        <v>299</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44405.958333333263</v>
      </c>
      <c r="BZ33" s="387">
        <f ca="1">OFFSET(TblImps[[#This Row],[Servertime]],-1,0)+1/24</f>
        <v>44406.208333333263</v>
      </c>
      <c r="CA33" s="141"/>
      <c r="CB33" s="385"/>
      <c r="CC33" s="385"/>
      <c r="CD33" s="59" t="s">
        <v>2</v>
      </c>
    </row>
    <row r="34" spans="1:82" x14ac:dyDescent="0.2">
      <c r="A34" s="280">
        <f ca="1">TblConstr[[#This Row],[Land]]</f>
        <v>299</v>
      </c>
      <c r="B34" s="184"/>
      <c r="C34" s="113">
        <f ca="1">TblProd[[#This Row],[Platinum]]</f>
        <v>106952</v>
      </c>
      <c r="D34" s="113">
        <f ca="1">TblProd[[#This Row],[Lumber]]</f>
        <v>27973</v>
      </c>
      <c r="E34" s="113">
        <f ca="1">TblProd[[#This Row],[Ore]]</f>
        <v>8400</v>
      </c>
      <c r="F34" s="113">
        <f ca="1">TblProd[[#This Row],[Gems]]</f>
        <v>0</v>
      </c>
      <c r="G34" s="200"/>
      <c r="H34" s="113">
        <f ca="1">TblMili[[#This Row],[Draftees]]</f>
        <v>223</v>
      </c>
      <c r="I34" s="234">
        <f ca="1">TblPop[[#This Row],[Employment]]</f>
        <v>1</v>
      </c>
      <c r="J34" s="234">
        <f ca="1">TblPop[[#This Row],[Total]]/TblPop[[#This Row],[Net max]]</f>
        <v>0.85876657545779833</v>
      </c>
      <c r="K34" s="373">
        <f>TblRezone[[#This Row],[Hour]]</f>
        <v>31</v>
      </c>
      <c r="L34" s="374">
        <f ca="1">TblImps[[#This Row],[Real time]]</f>
        <v>44405.999999999927</v>
      </c>
      <c r="M34" s="74">
        <f>IF(ISERROR(TblImps[[#This Row],[algorithm]]),0,TblImps[[#This Row],[algorithm]]*1)</f>
        <v>0</v>
      </c>
      <c r="N34" s="113">
        <f ca="1">TblImps[[#This Row],[Land]]</f>
        <v>299</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44405.999999999927</v>
      </c>
      <c r="BZ34" s="387">
        <f ca="1">OFFSET(TblImps[[#This Row],[Servertime]],-1,0)+1/24</f>
        <v>44406.249999999927</v>
      </c>
      <c r="CA34" s="141"/>
      <c r="CB34" s="385"/>
      <c r="CC34" s="385"/>
    </row>
    <row r="35" spans="1:82" x14ac:dyDescent="0.2">
      <c r="A35" s="280">
        <f ca="1">TblConstr[[#This Row],[Land]]</f>
        <v>299</v>
      </c>
      <c r="B35" s="184"/>
      <c r="C35" s="113">
        <f ca="1">TblProd[[#This Row],[Platinum]]</f>
        <v>121723</v>
      </c>
      <c r="D35" s="113">
        <f ca="1">TblProd[[#This Row],[Lumber]]</f>
        <v>28693</v>
      </c>
      <c r="E35" s="113">
        <f ca="1">TblProd[[#This Row],[Ore]]</f>
        <v>9600</v>
      </c>
      <c r="F35" s="113">
        <f ca="1">TblProd[[#This Row],[Gems]]</f>
        <v>0</v>
      </c>
      <c r="G35" s="200"/>
      <c r="H35" s="113">
        <f ca="1">TblMili[[#This Row],[Draftees]]</f>
        <v>261</v>
      </c>
      <c r="I35" s="234">
        <f ca="1">TblPop[[#This Row],[Employment]]</f>
        <v>1</v>
      </c>
      <c r="J35" s="234">
        <f ca="1">TblPop[[#This Row],[Total]]/TblPop[[#This Row],[Net max]]</f>
        <v>0.90402020627236368</v>
      </c>
      <c r="K35" s="373">
        <f>TblRezone[[#This Row],[Hour]]</f>
        <v>32</v>
      </c>
      <c r="L35" s="374">
        <f ca="1">TblImps[[#This Row],[Real time]]</f>
        <v>44406.041666666591</v>
      </c>
      <c r="M35" s="74">
        <f>IF(ISERROR(TblImps[[#This Row],[algorithm]]),0,TblImps[[#This Row],[algorithm]]*1)</f>
        <v>0</v>
      </c>
      <c r="N35" s="113">
        <f ca="1">TblImps[[#This Row],[Land]]</f>
        <v>299</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44406.041666666591</v>
      </c>
      <c r="BZ35" s="387">
        <f ca="1">OFFSET(TblImps[[#This Row],[Servertime]],-1,0)+1/24</f>
        <v>44406.291666666591</v>
      </c>
      <c r="CA35" s="141"/>
      <c r="CB35" s="385"/>
      <c r="CC35" s="385"/>
      <c r="CD35" s="59" t="s">
        <v>220</v>
      </c>
    </row>
    <row r="36" spans="1:82" x14ac:dyDescent="0.2">
      <c r="A36" s="280">
        <f ca="1">TblConstr[[#This Row],[Land]]</f>
        <v>299</v>
      </c>
      <c r="B36" s="184"/>
      <c r="C36" s="113">
        <f ca="1">TblProd[[#This Row],[Platinum]]</f>
        <v>137020</v>
      </c>
      <c r="D36" s="113">
        <f ca="1">TblProd[[#This Row],[Lumber]]</f>
        <v>29406</v>
      </c>
      <c r="E36" s="113">
        <f ca="1">TblProd[[#This Row],[Ore]]</f>
        <v>10800</v>
      </c>
      <c r="F36" s="113">
        <f ca="1">TblProd[[#This Row],[Gems]]</f>
        <v>0</v>
      </c>
      <c r="G36" s="200"/>
      <c r="H36" s="113">
        <f ca="1">TblMili[[#This Row],[Draftees]]</f>
        <v>301</v>
      </c>
      <c r="I36" s="234">
        <f ca="1">TblPop[[#This Row],[Employment]]</f>
        <v>1</v>
      </c>
      <c r="J36" s="234">
        <f ca="1">TblPop[[#This Row],[Total]]/TblPop[[#This Row],[Net max]]</f>
        <v>0.95137865712481584</v>
      </c>
      <c r="K36" s="373">
        <f>TblRezone[[#This Row],[Hour]]</f>
        <v>33</v>
      </c>
      <c r="L36" s="374">
        <f ca="1">TblImps[[#This Row],[Real time]]</f>
        <v>44406.083333333256</v>
      </c>
      <c r="M36" s="74">
        <f>IF(ISERROR(TblImps[[#This Row],[algorithm]]),0,TblImps[[#This Row],[algorithm]]*1)</f>
        <v>0</v>
      </c>
      <c r="N36" s="113">
        <f ca="1">TblImps[[#This Row],[Land]]</f>
        <v>299</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44406.083333333256</v>
      </c>
      <c r="BZ36" s="387">
        <f ca="1">OFFSET(TblImps[[#This Row],[Servertime]],-1,0)+1/24</f>
        <v>44406.333333333256</v>
      </c>
      <c r="CA36" s="141"/>
      <c r="CB36" s="385"/>
      <c r="CC36" s="385"/>
      <c r="CD36" s="59" t="s">
        <v>222</v>
      </c>
    </row>
    <row r="37" spans="1:82" x14ac:dyDescent="0.2">
      <c r="A37" s="280">
        <f ca="1">TblConstr[[#This Row],[Land]]</f>
        <v>299</v>
      </c>
      <c r="B37" s="184"/>
      <c r="C37" s="113">
        <f ca="1">TblProd[[#This Row],[Platinum]]</f>
        <v>152866</v>
      </c>
      <c r="D37" s="113">
        <f ca="1">TblProd[[#This Row],[Lumber]]</f>
        <v>30112</v>
      </c>
      <c r="E37" s="113">
        <f ca="1">TblProd[[#This Row],[Ore]]</f>
        <v>12000</v>
      </c>
      <c r="F37" s="113">
        <f ca="1">TblProd[[#This Row],[Gems]]</f>
        <v>0</v>
      </c>
      <c r="G37" s="200"/>
      <c r="H37" s="113">
        <f ca="1">TblMili[[#This Row],[Draftees]]</f>
        <v>343</v>
      </c>
      <c r="I37" s="234">
        <f ca="1">TblPop[[#This Row],[Employment]]</f>
        <v>1</v>
      </c>
      <c r="J37" s="234">
        <f ca="1">TblPop[[#This Row],[Total]]/TblPop[[#This Row],[Net max]]</f>
        <v>1</v>
      </c>
      <c r="K37" s="373">
        <f>TblRezone[[#This Row],[Hour]]</f>
        <v>34</v>
      </c>
      <c r="L37" s="374">
        <f ca="1">TblImps[[#This Row],[Real time]]</f>
        <v>44406.12499999992</v>
      </c>
      <c r="M37" s="74">
        <f>IF(ISERROR(TblImps[[#This Row],[algorithm]]),0,TblImps[[#This Row],[algorithm]]*1)</f>
        <v>0</v>
      </c>
      <c r="N37" s="113">
        <f ca="1">TblImps[[#This Row],[Land]]</f>
        <v>299</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44406.12499999992</v>
      </c>
      <c r="BZ37" s="387">
        <f ca="1">OFFSET(TblImps[[#This Row],[Servertime]],-1,0)+1/24</f>
        <v>44406.37499999992</v>
      </c>
      <c r="CA37" s="141"/>
      <c r="CB37" s="385"/>
      <c r="CC37" s="385"/>
      <c r="CD37" s="59" t="s">
        <v>223</v>
      </c>
    </row>
    <row r="38" spans="1:82" x14ac:dyDescent="0.2">
      <c r="A38" s="280">
        <f ca="1">TblConstr[[#This Row],[Land]]</f>
        <v>299</v>
      </c>
      <c r="B38" s="184"/>
      <c r="C38" s="113">
        <f ca="1">TblProd[[#This Row],[Platinum]]</f>
        <v>73562</v>
      </c>
      <c r="D38" s="113">
        <f ca="1">TblProd[[#This Row],[Lumber]]</f>
        <v>30811</v>
      </c>
      <c r="E38" s="113">
        <f ca="1">TblProd[[#This Row],[Ore]]</f>
        <v>13200</v>
      </c>
      <c r="F38" s="113">
        <f ca="1">TblProd[[#This Row],[Gems]]</f>
        <v>0</v>
      </c>
      <c r="G38" s="200"/>
      <c r="H38" s="113">
        <f ca="1">TblMili[[#This Row],[Draftees]]</f>
        <v>3</v>
      </c>
      <c r="I38" s="234">
        <f ca="1">TblPop[[#This Row],[Employment]]</f>
        <v>1</v>
      </c>
      <c r="J38" s="234">
        <f ca="1">TblPop[[#This Row],[Total]]/TblPop[[#This Row],[Net max]]</f>
        <v>0.91917491054514844</v>
      </c>
      <c r="K38" s="373">
        <f>TblRezone[[#This Row],[Hour]]</f>
        <v>35</v>
      </c>
      <c r="L38" s="374">
        <f ca="1">TblImps[[#This Row],[Real time]]</f>
        <v>44406.166666666584</v>
      </c>
      <c r="M38" s="74">
        <f>IF(ISERROR(TblImps[[#This Row],[algorithm]]),0,TblImps[[#This Row],[algorithm]]*1)</f>
        <v>1</v>
      </c>
      <c r="N38" s="113">
        <f ca="1">TblImps[[#This Row],[Land]]</f>
        <v>299</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38" s="74">
        <f>TblImps[[#This Row],[Login]]</f>
        <v>1</v>
      </c>
      <c r="BX38" s="178"/>
      <c r="BY38" s="386">
        <f ca="1">OFFSET(TblImps[[#This Row],[Real time]],-1,0)+1/24</f>
        <v>44406.166666666584</v>
      </c>
      <c r="BZ38" s="387">
        <f ca="1">OFFSET(TblImps[[#This Row],[Servertime]],-1,0)+1/24</f>
        <v>44406.416666666584</v>
      </c>
      <c r="CA38" s="141"/>
      <c r="CB38" s="385"/>
      <c r="CC38" s="385"/>
      <c r="CD38" s="59" t="s">
        <v>224</v>
      </c>
    </row>
    <row r="39" spans="1:82" x14ac:dyDescent="0.2">
      <c r="A39" s="280">
        <f ca="1">TblConstr[[#This Row],[Land]]</f>
        <v>434</v>
      </c>
      <c r="B39" s="184"/>
      <c r="C39" s="113">
        <f ca="1">TblProd[[#This Row],[Platinum]]</f>
        <v>3179</v>
      </c>
      <c r="D39" s="113">
        <f ca="1">TblProd[[#This Row],[Lumber]]</f>
        <v>22593</v>
      </c>
      <c r="E39" s="113">
        <f ca="1">TblProd[[#This Row],[Ore]]</f>
        <v>14400</v>
      </c>
      <c r="F39" s="113">
        <f ca="1">TblProd[[#This Row],[Gems]]</f>
        <v>0</v>
      </c>
      <c r="G39" s="200"/>
      <c r="H39" s="113">
        <f ca="1">TblMili[[#This Row],[Draftees]]</f>
        <v>4</v>
      </c>
      <c r="I39" s="234">
        <f ca="1">TblPop[[#This Row],[Employment]]</f>
        <v>1</v>
      </c>
      <c r="J39" s="234">
        <f ca="1">TblPop[[#This Row],[Total]]/TblPop[[#This Row],[Net max]]</f>
        <v>0.8364872313062649</v>
      </c>
      <c r="K39" s="373">
        <f>TblRezone[[#This Row],[Hour]]</f>
        <v>36</v>
      </c>
      <c r="L39" s="374">
        <f ca="1">TblImps[[#This Row],[Real time]]</f>
        <v>44406.208333333248</v>
      </c>
      <c r="M39" s="74">
        <f>IF(ISERROR(TblImps[[#This Row],[algorithm]]),0,TblImps[[#This Row],[algorithm]]*1)</f>
        <v>1</v>
      </c>
      <c r="N39" s="113">
        <f ca="1">TblImps[[#This Row],[Land]]</f>
        <v>434</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39" s="74">
        <f>TblImps[[#This Row],[Login]]</f>
        <v>1</v>
      </c>
      <c r="BX39" s="178"/>
      <c r="BY39" s="386">
        <f ca="1">OFFSET(TblImps[[#This Row],[Real time]],-1,0)+1/24</f>
        <v>44406.208333333248</v>
      </c>
      <c r="BZ39" s="387">
        <f ca="1">OFFSET(TblImps[[#This Row],[Servertime]],-1,0)+1/24</f>
        <v>44406.458333333248</v>
      </c>
      <c r="CA39" s="141"/>
      <c r="CB39" s="385"/>
      <c r="CC39" s="385"/>
      <c r="CD39" s="49" t="s">
        <v>225</v>
      </c>
    </row>
    <row r="40" spans="1:82" x14ac:dyDescent="0.2">
      <c r="A40" s="280">
        <f ca="1">TblConstr[[#This Row],[Land]]</f>
        <v>434</v>
      </c>
      <c r="B40" s="184"/>
      <c r="C40" s="113">
        <f ca="1">TblProd[[#This Row],[Platinum]]</f>
        <v>9431</v>
      </c>
      <c r="D40" s="113">
        <f ca="1">TblProd[[#This Row],[Lumber]]</f>
        <v>23367</v>
      </c>
      <c r="E40" s="113">
        <f ca="1">TblProd[[#This Row],[Ore]]</f>
        <v>15600</v>
      </c>
      <c r="F40" s="113">
        <f ca="1">TblProd[[#This Row],[Gems]]</f>
        <v>0</v>
      </c>
      <c r="G40" s="200"/>
      <c r="H40" s="113">
        <f ca="1">TblMili[[#This Row],[Draftees]]</f>
        <v>1</v>
      </c>
      <c r="I40" s="234">
        <f ca="1">TblPop[[#This Row],[Employment]]</f>
        <v>1</v>
      </c>
      <c r="J40" s="234">
        <f ca="1">TblPop[[#This Row],[Total]]/TblPop[[#This Row],[Net max]]</f>
        <v>0.69459499047898055</v>
      </c>
      <c r="K40" s="373">
        <f>TblRezone[[#This Row],[Hour]]</f>
        <v>37</v>
      </c>
      <c r="L40" s="374">
        <f ca="1">TblImps[[#This Row],[Real time]]</f>
        <v>44406.249999999913</v>
      </c>
      <c r="M40" s="74">
        <f>IF(ISERROR(TblImps[[#This Row],[algorithm]]),0,TblImps[[#This Row],[algorithm]]*1)</f>
        <v>1</v>
      </c>
      <c r="N40" s="113">
        <f ca="1">TblImps[[#This Row],[Land]]</f>
        <v>434</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0" s="74">
        <f>TblImps[[#This Row],[Login]]</f>
        <v>1</v>
      </c>
      <c r="BX40" s="178"/>
      <c r="BY40" s="386">
        <f ca="1">OFFSET(TblImps[[#This Row],[Real time]],-1,0)+1/24</f>
        <v>44406.249999999913</v>
      </c>
      <c r="BZ40" s="387">
        <f ca="1">OFFSET(TblImps[[#This Row],[Servertime]],-1,0)+1/24</f>
        <v>44406.499999999913</v>
      </c>
      <c r="CA40" s="141"/>
      <c r="CB40" s="385"/>
      <c r="CC40" s="385"/>
      <c r="CD40" s="49" t="s">
        <v>226</v>
      </c>
    </row>
    <row r="41" spans="1:82" x14ac:dyDescent="0.2">
      <c r="A41" s="280">
        <f ca="1">TblConstr[[#This Row],[Land]]</f>
        <v>434</v>
      </c>
      <c r="B41" s="184"/>
      <c r="C41" s="113">
        <f ca="1">TblProd[[#This Row],[Platinum]]</f>
        <v>16253</v>
      </c>
      <c r="D41" s="113">
        <f ca="1">TblProd[[#This Row],[Lumber]]</f>
        <v>24133</v>
      </c>
      <c r="E41" s="113">
        <f ca="1">TblProd[[#This Row],[Ore]]</f>
        <v>16800</v>
      </c>
      <c r="F41" s="113">
        <f ca="1">TblProd[[#This Row],[Gems]]</f>
        <v>0</v>
      </c>
      <c r="G41" s="200"/>
      <c r="H41" s="113">
        <f ca="1">TblMili[[#This Row],[Draftees]]</f>
        <v>0</v>
      </c>
      <c r="I41" s="234">
        <f ca="1">TblPop[[#This Row],[Employment]]</f>
        <v>1</v>
      </c>
      <c r="J41" s="234">
        <f ca="1">TblPop[[#This Row],[Total]]/TblPop[[#This Row],[Net max]]</f>
        <v>0.72389043503735173</v>
      </c>
      <c r="K41" s="373">
        <f>TblRezone[[#This Row],[Hour]]</f>
        <v>38</v>
      </c>
      <c r="L41" s="374">
        <f ca="1">TblImps[[#This Row],[Real time]]</f>
        <v>44406.291666666577</v>
      </c>
      <c r="M41" s="74">
        <f>IF(ISERROR(TblImps[[#This Row],[algorithm]]),0,TblImps[[#This Row],[algorithm]]*1)</f>
        <v>1</v>
      </c>
      <c r="N41" s="113">
        <f ca="1">TblImps[[#This Row],[Land]]</f>
        <v>434</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1" s="74">
        <f>TblImps[[#This Row],[Login]]</f>
        <v>1</v>
      </c>
      <c r="BX41" s="178"/>
      <c r="BY41" s="386">
        <f ca="1">OFFSET(TblImps[[#This Row],[Real time]],-1,0)+1/24</f>
        <v>44406.291666666577</v>
      </c>
      <c r="BZ41" s="387">
        <f ca="1">OFFSET(TblImps[[#This Row],[Servertime]],-1,0)+1/24</f>
        <v>44406.541666666577</v>
      </c>
      <c r="CA41" s="141"/>
      <c r="CB41" s="385"/>
      <c r="CC41" s="385"/>
    </row>
    <row r="42" spans="1:82" x14ac:dyDescent="0.2">
      <c r="A42" s="280">
        <f ca="1">TblConstr[[#This Row],[Land]]</f>
        <v>454</v>
      </c>
      <c r="B42" s="184"/>
      <c r="C42" s="113">
        <f ca="1">TblProd[[#This Row],[Platinum]]</f>
        <v>25297</v>
      </c>
      <c r="D42" s="113">
        <f ca="1">TblProd[[#This Row],[Lumber]]</f>
        <v>24892</v>
      </c>
      <c r="E42" s="113">
        <f ca="1">TblProd[[#This Row],[Ore]]</f>
        <v>18000</v>
      </c>
      <c r="F42" s="113">
        <f ca="1">TblProd[[#This Row],[Gems]]</f>
        <v>0</v>
      </c>
      <c r="G42" s="200"/>
      <c r="H42" s="113">
        <f ca="1">TblMili[[#This Row],[Draftees]]</f>
        <v>7</v>
      </c>
      <c r="I42" s="234">
        <f ca="1">TblPop[[#This Row],[Employment]]</f>
        <v>1</v>
      </c>
      <c r="J42" s="234">
        <f ca="1">TblPop[[#This Row],[Total]]/TblPop[[#This Row],[Net max]]</f>
        <v>0.75552951516039257</v>
      </c>
      <c r="K42" s="373">
        <f>TblRezone[[#This Row],[Hour]]</f>
        <v>39</v>
      </c>
      <c r="L42" s="374">
        <f ca="1">TblImps[[#This Row],[Real time]]</f>
        <v>44406.333333333241</v>
      </c>
      <c r="M42" s="74">
        <f>IF(ISERROR(TblImps[[#This Row],[algorithm]]),0,TblImps[[#This Row],[algorithm]]*1)</f>
        <v>1</v>
      </c>
      <c r="N42" s="113">
        <f ca="1">TblImps[[#This Row],[Land]]</f>
        <v>454</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2" s="74">
        <f>TblImps[[#This Row],[Login]]</f>
        <v>1</v>
      </c>
      <c r="BX42" s="178"/>
      <c r="BY42" s="386">
        <f ca="1">OFFSET(TblImps[[#This Row],[Real time]],-1,0)+1/24</f>
        <v>44406.333333333241</v>
      </c>
      <c r="BZ42" s="387">
        <f ca="1">OFFSET(TblImps[[#This Row],[Servertime]],-1,0)+1/24</f>
        <v>44406.583333333241</v>
      </c>
      <c r="CA42" s="390"/>
      <c r="CB42" s="385"/>
      <c r="CC42" s="385"/>
    </row>
    <row r="43" spans="1:82" x14ac:dyDescent="0.2">
      <c r="A43" s="280">
        <f ca="1">TblConstr[[#This Row],[Land]]</f>
        <v>454</v>
      </c>
      <c r="B43" s="184"/>
      <c r="C43" s="113">
        <f ca="1">TblProd[[#This Row],[Platinum]]</f>
        <v>34417</v>
      </c>
      <c r="D43" s="113">
        <f ca="1">TblProd[[#This Row],[Lumber]]</f>
        <v>24223</v>
      </c>
      <c r="E43" s="113">
        <f ca="1">TblProd[[#This Row],[Ore]]</f>
        <v>19200</v>
      </c>
      <c r="F43" s="113">
        <f ca="1">TblProd[[#This Row],[Gems]]</f>
        <v>0</v>
      </c>
      <c r="G43" s="200"/>
      <c r="H43" s="113">
        <f ca="1">TblMili[[#This Row],[Draftees]]</f>
        <v>58</v>
      </c>
      <c r="I43" s="234">
        <f ca="1">TblPop[[#This Row],[Employment]]</f>
        <v>1</v>
      </c>
      <c r="J43" s="234">
        <f ca="1">TblPop[[#This Row],[Total]]/TblPop[[#This Row],[Net max]]</f>
        <v>0.78294126136527642</v>
      </c>
      <c r="K43" s="373">
        <f>TblRezone[[#This Row],[Hour]]</f>
        <v>40</v>
      </c>
      <c r="L43" s="374">
        <f ca="1">TblImps[[#This Row],[Real time]]</f>
        <v>44406.374999999905</v>
      </c>
      <c r="M43" s="74">
        <f>IF(ISERROR(TblImps[[#This Row],[algorithm]]),0,TblImps[[#This Row],[algorithm]]*1)</f>
        <v>1</v>
      </c>
      <c r="N43" s="113">
        <f ca="1">TblImps[[#This Row],[Land]]</f>
        <v>454</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3" s="74">
        <f>TblImps[[#This Row],[Login]]</f>
        <v>1</v>
      </c>
      <c r="BX43" s="178"/>
      <c r="BY43" s="386">
        <f ca="1">OFFSET(TblImps[[#This Row],[Real time]],-1,0)+1/24</f>
        <v>44406.374999999905</v>
      </c>
      <c r="BZ43" s="387">
        <f ca="1">OFFSET(TblImps[[#This Row],[Servertime]],-1,0)+1/24</f>
        <v>44406.624999999905</v>
      </c>
      <c r="CA43" s="141"/>
      <c r="CB43" s="385"/>
      <c r="CC43" s="385"/>
    </row>
    <row r="44" spans="1:82" x14ac:dyDescent="0.2">
      <c r="A44" s="280">
        <f ca="1">TblConstr[[#This Row],[Land]]</f>
        <v>454</v>
      </c>
      <c r="B44" s="184"/>
      <c r="C44" s="113">
        <f ca="1">TblProd[[#This Row],[Platinum]]</f>
        <v>56098</v>
      </c>
      <c r="D44" s="113">
        <f ca="1">TblProd[[#This Row],[Lumber]]</f>
        <v>24981</v>
      </c>
      <c r="E44" s="113">
        <f ca="1">TblProd[[#This Row],[Ore]]</f>
        <v>20400</v>
      </c>
      <c r="F44" s="113">
        <f ca="1">TblProd[[#This Row],[Gems]]</f>
        <v>0</v>
      </c>
      <c r="G44" s="200"/>
      <c r="H44" s="113">
        <f ca="1">TblMili[[#This Row],[Draftees]]</f>
        <v>111</v>
      </c>
      <c r="I44" s="234">
        <f ca="1">TblPop[[#This Row],[Employment]]</f>
        <v>1</v>
      </c>
      <c r="J44" s="234">
        <f ca="1">TblPop[[#This Row],[Total]]/TblPop[[#This Row],[Net max]]</f>
        <v>0.79955144379029996</v>
      </c>
      <c r="K44" s="373">
        <f>TblRezone[[#This Row],[Hour]]</f>
        <v>41</v>
      </c>
      <c r="L44" s="374">
        <f ca="1">TblImps[[#This Row],[Real time]]</f>
        <v>44406.41666666657</v>
      </c>
      <c r="M44" s="74">
        <f>IF(ISERROR(TblImps[[#This Row],[algorithm]]),0,TblImps[[#This Row],[algorithm]]*1)</f>
        <v>0</v>
      </c>
      <c r="N44" s="113">
        <f ca="1">TblImps[[#This Row],[Land]]</f>
        <v>454</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44406.41666666657</v>
      </c>
      <c r="BZ44" s="387">
        <f ca="1">OFFSET(TblImps[[#This Row],[Servertime]],-1,0)+1/24</f>
        <v>44406.66666666657</v>
      </c>
      <c r="CA44" s="141"/>
      <c r="CB44" s="385"/>
      <c r="CC44" s="385"/>
    </row>
    <row r="45" spans="1:82" x14ac:dyDescent="0.2">
      <c r="A45" s="280">
        <f ca="1">TblConstr[[#This Row],[Land]]</f>
        <v>454</v>
      </c>
      <c r="B45" s="184"/>
      <c r="C45" s="113">
        <f ca="1">TblProd[[#This Row],[Platinum]]</f>
        <v>78451</v>
      </c>
      <c r="D45" s="113">
        <f ca="1">TblProd[[#This Row],[Lumber]]</f>
        <v>25731</v>
      </c>
      <c r="E45" s="113">
        <f ca="1">TblProd[[#This Row],[Ore]]</f>
        <v>21600</v>
      </c>
      <c r="F45" s="113">
        <f ca="1">TblProd[[#This Row],[Gems]]</f>
        <v>0</v>
      </c>
      <c r="G45" s="200"/>
      <c r="H45" s="113">
        <f ca="1">TblMili[[#This Row],[Draftees]]</f>
        <v>166</v>
      </c>
      <c r="I45" s="234">
        <f ca="1">TblPop[[#This Row],[Employment]]</f>
        <v>1</v>
      </c>
      <c r="J45" s="234">
        <f ca="1">TblPop[[#This Row],[Total]]/TblPop[[#This Row],[Net max]]</f>
        <v>0.840201850294365</v>
      </c>
      <c r="K45" s="373">
        <f>TblRezone[[#This Row],[Hour]]</f>
        <v>42</v>
      </c>
      <c r="L45" s="374">
        <f ca="1">TblImps[[#This Row],[Real time]]</f>
        <v>44406.458333333234</v>
      </c>
      <c r="M45" s="74">
        <f>IF(ISERROR(TblImps[[#This Row],[algorithm]]),0,TblImps[[#This Row],[algorithm]]*1)</f>
        <v>0</v>
      </c>
      <c r="N45" s="113">
        <f ca="1">TblImps[[#This Row],[Land]]</f>
        <v>454</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44406.458333333234</v>
      </c>
      <c r="BZ45" s="387">
        <f ca="1">OFFSET(TblImps[[#This Row],[Servertime]],-1,0)+1/24</f>
        <v>44406.708333333234</v>
      </c>
      <c r="CA45" s="141"/>
      <c r="CB45" s="385"/>
      <c r="CC45" s="385"/>
    </row>
    <row r="46" spans="1:82" x14ac:dyDescent="0.2">
      <c r="A46" s="280">
        <f ca="1">TblConstr[[#This Row],[Land]]</f>
        <v>454</v>
      </c>
      <c r="B46" s="184"/>
      <c r="C46" s="113">
        <f ca="1">TblProd[[#This Row],[Platinum]]</f>
        <v>101502</v>
      </c>
      <c r="D46" s="113">
        <f ca="1">TblProd[[#This Row],[Lumber]]</f>
        <v>26474</v>
      </c>
      <c r="E46" s="113">
        <f ca="1">TblProd[[#This Row],[Ore]]</f>
        <v>22800</v>
      </c>
      <c r="F46" s="113">
        <f ca="1">TblProd[[#This Row],[Gems]]</f>
        <v>0</v>
      </c>
      <c r="G46" s="200"/>
      <c r="H46" s="113">
        <f ca="1">TblMili[[#This Row],[Draftees]]</f>
        <v>224</v>
      </c>
      <c r="I46" s="234">
        <f ca="1">TblPop[[#This Row],[Employment]]</f>
        <v>0.9596546571476009</v>
      </c>
      <c r="J46" s="234">
        <f ca="1">TblPop[[#This Row],[Total]]/TblPop[[#This Row],[Net max]]</f>
        <v>0.88267451640033645</v>
      </c>
      <c r="K46" s="373">
        <f>TblRezone[[#This Row],[Hour]]</f>
        <v>43</v>
      </c>
      <c r="L46" s="374">
        <f ca="1">TblImps[[#This Row],[Real time]]</f>
        <v>44406.499999999898</v>
      </c>
      <c r="M46" s="74">
        <f>IF(ISERROR(TblImps[[#This Row],[algorithm]]),0,TblImps[[#This Row],[algorithm]]*1)</f>
        <v>0</v>
      </c>
      <c r="N46" s="113">
        <f ca="1">TblImps[[#This Row],[Land]]</f>
        <v>454</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44406.499999999898</v>
      </c>
      <c r="BZ46" s="387">
        <f ca="1">OFFSET(TblImps[[#This Row],[Servertime]],-1,0)+1/24</f>
        <v>44406.749999999898</v>
      </c>
      <c r="CA46" s="141"/>
      <c r="CB46" s="385"/>
      <c r="CC46" s="385"/>
    </row>
    <row r="47" spans="1:82" x14ac:dyDescent="0.2">
      <c r="A47" s="280">
        <f ca="1">TblConstr[[#This Row],[Land]]</f>
        <v>454</v>
      </c>
      <c r="B47" s="184"/>
      <c r="C47" s="113">
        <f ca="1">TblProd[[#This Row],[Platinum]]</f>
        <v>124559</v>
      </c>
      <c r="D47" s="113">
        <f ca="1">TblProd[[#This Row],[Lumber]]</f>
        <v>27209</v>
      </c>
      <c r="E47" s="113">
        <f ca="1">TblProd[[#This Row],[Ore]]</f>
        <v>24000</v>
      </c>
      <c r="F47" s="113">
        <f ca="1">TblProd[[#This Row],[Gems]]</f>
        <v>0</v>
      </c>
      <c r="G47" s="200"/>
      <c r="H47" s="113">
        <f ca="1">TblMili[[#This Row],[Draftees]]</f>
        <v>284</v>
      </c>
      <c r="I47" s="234">
        <f ca="1">TblPop[[#This Row],[Employment]]</f>
        <v>0.92052874661570316</v>
      </c>
      <c r="J47" s="234">
        <f ca="1">TblPop[[#This Row],[Total]]/TblPop[[#This Row],[Net max]]</f>
        <v>0.92696944210821419</v>
      </c>
      <c r="K47" s="373">
        <f>TblRezone[[#This Row],[Hour]]</f>
        <v>44</v>
      </c>
      <c r="L47" s="374">
        <f ca="1">TblImps[[#This Row],[Real time]]</f>
        <v>44406.541666666562</v>
      </c>
      <c r="M47" s="74">
        <f>IF(ISERROR(TblImps[[#This Row],[algorithm]]),0,TblImps[[#This Row],[algorithm]]*1)</f>
        <v>0</v>
      </c>
      <c r="N47" s="113">
        <f ca="1">TblImps[[#This Row],[Land]]</f>
        <v>454</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44406.541666666562</v>
      </c>
      <c r="BZ47" s="387">
        <f ca="1">OFFSET(TblImps[[#This Row],[Servertime]],-1,0)+1/24</f>
        <v>44406.791666666562</v>
      </c>
      <c r="CA47" s="141"/>
      <c r="CB47" s="385"/>
      <c r="CC47" s="385"/>
    </row>
    <row r="48" spans="1:82" x14ac:dyDescent="0.2">
      <c r="A48" s="280">
        <f ca="1">TblConstr[[#This Row],[Land]]</f>
        <v>454</v>
      </c>
      <c r="B48" s="184"/>
      <c r="C48" s="113">
        <f ca="1">TblProd[[#This Row],[Platinum]]</f>
        <v>147616</v>
      </c>
      <c r="D48" s="113">
        <f ca="1">TblProd[[#This Row],[Lumber]]</f>
        <v>27937</v>
      </c>
      <c r="E48" s="113">
        <f ca="1">TblProd[[#This Row],[Ore]]</f>
        <v>25200</v>
      </c>
      <c r="F48" s="113">
        <f ca="1">TblProd[[#This Row],[Gems]]</f>
        <v>0</v>
      </c>
      <c r="G48" s="200"/>
      <c r="H48" s="113">
        <f ca="1">TblMili[[#This Row],[Draftees]]</f>
        <v>347</v>
      </c>
      <c r="I48" s="234">
        <f ca="1">TblPop[[#This Row],[Employment]]</f>
        <v>0.88311688311688308</v>
      </c>
      <c r="J48" s="234">
        <f ca="1">TblPop[[#This Row],[Total]]/TblPop[[#This Row],[Net max]]</f>
        <v>0.97308662741799834</v>
      </c>
      <c r="K48" s="373">
        <f>TblRezone[[#This Row],[Hour]]</f>
        <v>45</v>
      </c>
      <c r="L48" s="374">
        <f ca="1">TblImps[[#This Row],[Real time]]</f>
        <v>44406.583333333227</v>
      </c>
      <c r="M48" s="74">
        <f>IF(ISERROR(TblImps[[#This Row],[algorithm]]),0,TblImps[[#This Row],[algorithm]]*1)</f>
        <v>0</v>
      </c>
      <c r="N48" s="113">
        <f ca="1">TblImps[[#This Row],[Land]]</f>
        <v>454</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44406.583333333227</v>
      </c>
      <c r="BZ48" s="387">
        <f ca="1">OFFSET(TblImps[[#This Row],[Servertime]],-1,0)+1/24</f>
        <v>44406.833333333227</v>
      </c>
      <c r="CA48" s="141"/>
      <c r="CB48" s="385"/>
      <c r="CC48" s="385"/>
    </row>
    <row r="49" spans="1:81" x14ac:dyDescent="0.2">
      <c r="A49" s="280">
        <f ca="1">TblConstr[[#This Row],[Land]]</f>
        <v>454</v>
      </c>
      <c r="B49" s="184"/>
      <c r="C49" s="113">
        <f ca="1">TblProd[[#This Row],[Platinum]]</f>
        <v>170673</v>
      </c>
      <c r="D49" s="113">
        <f ca="1">TblProd[[#This Row],[Lumber]]</f>
        <v>28658</v>
      </c>
      <c r="E49" s="113">
        <f ca="1">TblProd[[#This Row],[Ore]]</f>
        <v>26400</v>
      </c>
      <c r="F49" s="113">
        <f ca="1">TblProd[[#This Row],[Gems]]</f>
        <v>0</v>
      </c>
      <c r="G49" s="200"/>
      <c r="H49" s="113">
        <f ca="1">TblMili[[#This Row],[Draftees]]</f>
        <v>412</v>
      </c>
      <c r="I49" s="234">
        <f ca="1">TblPop[[#This Row],[Employment]]</f>
        <v>0.86630695443645089</v>
      </c>
      <c r="J49" s="234">
        <f ca="1">TblPop[[#This Row],[Total]]/TblPop[[#This Row],[Net max]]</f>
        <v>1</v>
      </c>
      <c r="K49" s="373">
        <f>TblRezone[[#This Row],[Hour]]</f>
        <v>46</v>
      </c>
      <c r="L49" s="374">
        <f ca="1">TblImps[[#This Row],[Real time]]</f>
        <v>44406.624999999891</v>
      </c>
      <c r="M49" s="74">
        <f>IF(ISERROR(TblImps[[#This Row],[algorithm]]),0,TblImps[[#This Row],[algorithm]]*1)</f>
        <v>0</v>
      </c>
      <c r="N49" s="113">
        <f ca="1">TblImps[[#This Row],[Land]]</f>
        <v>454</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44406.624999999891</v>
      </c>
      <c r="BZ49" s="387">
        <f ca="1">OFFSET(TblImps[[#This Row],[Servertime]],-1,0)+1/24</f>
        <v>44406.874999999891</v>
      </c>
      <c r="CA49" s="141"/>
      <c r="CB49" s="385"/>
      <c r="CC49" s="385"/>
    </row>
    <row r="50" spans="1:81" x14ac:dyDescent="0.2">
      <c r="A50" s="280">
        <f ca="1">TblConstr[[#This Row],[Land]]</f>
        <v>550</v>
      </c>
      <c r="B50" s="184"/>
      <c r="C50" s="113">
        <f ca="1">TblProd[[#This Row],[Platinum]]</f>
        <v>122786</v>
      </c>
      <c r="D50" s="113">
        <f ca="1">TblProd[[#This Row],[Lumber]]</f>
        <v>20155</v>
      </c>
      <c r="E50" s="113">
        <f ca="1">TblProd[[#This Row],[Ore]]</f>
        <v>27600</v>
      </c>
      <c r="F50" s="113">
        <f ca="1">TblProd[[#This Row],[Gems]]</f>
        <v>0</v>
      </c>
      <c r="G50" s="200"/>
      <c r="H50" s="113">
        <f ca="1">TblMili[[#This Row],[Draftees]]</f>
        <v>479</v>
      </c>
      <c r="I50" s="234">
        <f ca="1">TblPop[[#This Row],[Employment]]</f>
        <v>1</v>
      </c>
      <c r="J50" s="234">
        <f ca="1">TblPop[[#This Row],[Total]]/TblPop[[#This Row],[Net max]]</f>
        <v>0.98006818777865201</v>
      </c>
      <c r="K50" s="373">
        <f>TblRezone[[#This Row],[Hour]]</f>
        <v>47</v>
      </c>
      <c r="L50" s="374">
        <f ca="1">TblImps[[#This Row],[Real time]]</f>
        <v>44406.666666666555</v>
      </c>
      <c r="M50" s="74">
        <f>IF(ISERROR(TblImps[[#This Row],[algorithm]]),0,TblImps[[#This Row],[algorithm]]*1)</f>
        <v>1</v>
      </c>
      <c r="N50" s="113">
        <f ca="1">TblImps[[#This Row],[Land]]</f>
        <v>550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0" s="74">
        <f>TblImps[[#This Row],[Login]]</f>
        <v>1</v>
      </c>
      <c r="BX50" s="178"/>
      <c r="BY50" s="386">
        <f ca="1">OFFSET(TblImps[[#This Row],[Real time]],-1,0)+1/24</f>
        <v>44406.666666666555</v>
      </c>
      <c r="BZ50" s="387">
        <f ca="1">OFFSET(TblImps[[#This Row],[Servertime]],-1,0)+1/24</f>
        <v>44406.916666666555</v>
      </c>
      <c r="CA50" s="141"/>
      <c r="CB50" s="385"/>
      <c r="CC50" s="385"/>
    </row>
    <row r="51" spans="1:81" x14ac:dyDescent="0.2">
      <c r="A51" s="280">
        <f ca="1">TblConstr[[#This Row],[Land]]</f>
        <v>557</v>
      </c>
      <c r="B51" s="184"/>
      <c r="C51" s="113">
        <f ca="1">TblProd[[#This Row],[Platinum]]</f>
        <v>179048</v>
      </c>
      <c r="D51" s="113">
        <f ca="1">TblProd[[#This Row],[Lumber]]</f>
        <v>20239</v>
      </c>
      <c r="E51" s="113">
        <f ca="1">TblProd[[#This Row],[Ore]]</f>
        <v>29400</v>
      </c>
      <c r="F51" s="113">
        <f ca="1">TblProd[[#This Row],[Gems]]</f>
        <v>0</v>
      </c>
      <c r="G51" s="200"/>
      <c r="H51" s="113">
        <f ca="1">TblMili[[#This Row],[Draftees]]</f>
        <v>548</v>
      </c>
      <c r="I51" s="234">
        <f ca="1">TblPop[[#This Row],[Employment]]</f>
        <v>1</v>
      </c>
      <c r="J51" s="234">
        <f ca="1">TblPop[[#This Row],[Total]]/TblPop[[#This Row],[Net max]]</f>
        <v>0.9053897756187832</v>
      </c>
      <c r="K51" s="373">
        <f>TblRezone[[#This Row],[Hour]]</f>
        <v>48</v>
      </c>
      <c r="L51" s="374">
        <f ca="1">TblImps[[#This Row],[Real time]]</f>
        <v>44406.708333333219</v>
      </c>
      <c r="M51" s="74">
        <f>IF(ISERROR(TblImps[[#This Row],[algorithm]]),0,TblImps[[#This Row],[algorithm]]*1)</f>
        <v>1</v>
      </c>
      <c r="N51" s="113">
        <f ca="1">TblImps[[#This Row],[Land]]</f>
        <v>557</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1" s="74">
        <f>TblImps[[#This Row],[Login]]</f>
        <v>1</v>
      </c>
      <c r="BX51" s="178"/>
      <c r="BY51" s="386">
        <f ca="1">OFFSET(TblImps[[#This Row],[Real time]],-1,0)+1/24</f>
        <v>44406.708333333219</v>
      </c>
      <c r="BZ51" s="387">
        <f ca="1">OFFSET(TblImps[[#This Row],[Servertime]],-1,0)+1/24</f>
        <v>44406.958333333219</v>
      </c>
      <c r="CA51" s="141"/>
      <c r="CB51" s="385"/>
      <c r="CC51" s="385"/>
    </row>
    <row r="52" spans="1:81" x14ac:dyDescent="0.2">
      <c r="A52" s="280">
        <f ca="1">TblConstr[[#This Row],[Land]]</f>
        <v>585</v>
      </c>
      <c r="B52" s="184"/>
      <c r="C52" s="113">
        <f ca="1">TblProd[[#This Row],[Platinum]]</f>
        <v>190631</v>
      </c>
      <c r="D52" s="113">
        <f ca="1">TblProd[[#This Row],[Lumber]]</f>
        <v>18085</v>
      </c>
      <c r="E52" s="113">
        <f ca="1">TblProd[[#This Row],[Ore]]</f>
        <v>31200</v>
      </c>
      <c r="F52" s="113">
        <f ca="1">TblProd[[#This Row],[Gems]]</f>
        <v>0</v>
      </c>
      <c r="G52" s="200"/>
      <c r="H52" s="113">
        <f ca="1">TblMili[[#This Row],[Draftees]]</f>
        <v>620</v>
      </c>
      <c r="I52" s="234">
        <f ca="1">TblPop[[#This Row],[Employment]]</f>
        <v>1</v>
      </c>
      <c r="J52" s="234">
        <f ca="1">TblPop[[#This Row],[Total]]/TblPop[[#This Row],[Net max]]</f>
        <v>0.93572325607946116</v>
      </c>
      <c r="K52" s="373">
        <f>TblRezone[[#This Row],[Hour]]</f>
        <v>49</v>
      </c>
      <c r="L52" s="374">
        <f ca="1">TblImps[[#This Row],[Real time]]</f>
        <v>44406.749999999884</v>
      </c>
      <c r="M52" s="74">
        <f>IF(ISERROR(TblImps[[#This Row],[algorithm]]),0,TblImps[[#This Row],[algorithm]]*1)</f>
        <v>1</v>
      </c>
      <c r="N52" s="113">
        <f ca="1">TblImps[[#This Row],[Land]]</f>
        <v>585</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2" s="74">
        <f>TblImps[[#This Row],[Login]]</f>
        <v>1</v>
      </c>
      <c r="BX52" s="178"/>
      <c r="BY52" s="386">
        <f ca="1">OFFSET(TblImps[[#This Row],[Real time]],-1,0)+1/24</f>
        <v>44406.749999999884</v>
      </c>
      <c r="BZ52" s="387">
        <f ca="1">OFFSET(TblImps[[#This Row],[Servertime]],-1,0)+1/24</f>
        <v>44406.999999999884</v>
      </c>
      <c r="CA52" s="141"/>
      <c r="CB52" s="385"/>
      <c r="CC52" s="385"/>
    </row>
    <row r="53" spans="1:81" x14ac:dyDescent="0.2">
      <c r="A53" s="280">
        <f ca="1">TblConstr[[#This Row],[Land]]</f>
        <v>593</v>
      </c>
      <c r="B53" s="184"/>
      <c r="C53" s="113">
        <f ca="1">TblProd[[#This Row],[Platinum]]</f>
        <v>218669</v>
      </c>
      <c r="D53" s="113">
        <f ca="1">TblProd[[#This Row],[Lumber]]</f>
        <v>18040</v>
      </c>
      <c r="E53" s="113">
        <f ca="1">TblProd[[#This Row],[Ore]]</f>
        <v>33000</v>
      </c>
      <c r="F53" s="113">
        <f ca="1">TblProd[[#This Row],[Gems]]</f>
        <v>0</v>
      </c>
      <c r="G53" s="200"/>
      <c r="H53" s="113">
        <f ca="1">TblMili[[#This Row],[Draftees]]</f>
        <v>695</v>
      </c>
      <c r="I53" s="234">
        <f ca="1">TblPop[[#This Row],[Employment]]</f>
        <v>1</v>
      </c>
      <c r="J53" s="234">
        <f ca="1">TblPop[[#This Row],[Total]]/TblPop[[#This Row],[Net max]]</f>
        <v>0.93339862879529878</v>
      </c>
      <c r="K53" s="373">
        <f>TblRezone[[#This Row],[Hour]]</f>
        <v>50</v>
      </c>
      <c r="L53" s="374">
        <f ca="1">TblImps[[#This Row],[Real time]]</f>
        <v>44406.791666666548</v>
      </c>
      <c r="M53" s="74">
        <f>IF(ISERROR(TblImps[[#This Row],[algorithm]]),0,TblImps[[#This Row],[algorithm]]*1)</f>
        <v>1</v>
      </c>
      <c r="N53" s="113">
        <f ca="1">TblImps[[#This Row],[Land]]</f>
        <v>593</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3" s="74">
        <f>TblImps[[#This Row],[Login]]</f>
        <v>1</v>
      </c>
      <c r="BX53" s="178"/>
      <c r="BY53" s="386">
        <f ca="1">OFFSET(TblImps[[#This Row],[Real time]],-1,0)+1/24</f>
        <v>44406.791666666548</v>
      </c>
      <c r="BZ53" s="387">
        <f ca="1">OFFSET(TblImps[[#This Row],[Servertime]],-1,0)+1/24</f>
        <v>44407.041666666548</v>
      </c>
      <c r="CA53" s="141"/>
      <c r="CB53" s="385"/>
      <c r="CC53" s="385"/>
    </row>
    <row r="54" spans="1:81" x14ac:dyDescent="0.2">
      <c r="A54" s="280">
        <f ca="1">TblConstr[[#This Row],[Land]]</f>
        <v>600</v>
      </c>
      <c r="B54" s="184"/>
      <c r="C54" s="113">
        <f ca="1">TblProd[[#This Row],[Platinum]]</f>
        <v>248345</v>
      </c>
      <c r="D54" s="113">
        <f ca="1">TblProd[[#This Row],[Lumber]]</f>
        <v>18090</v>
      </c>
      <c r="E54" s="113">
        <f ca="1">TblProd[[#This Row],[Ore]]</f>
        <v>34800</v>
      </c>
      <c r="F54" s="113">
        <f ca="1">TblProd[[#This Row],[Gems]]</f>
        <v>0</v>
      </c>
      <c r="G54" s="200"/>
      <c r="H54" s="113">
        <f ca="1">TblMili[[#This Row],[Draftees]]</f>
        <v>773</v>
      </c>
      <c r="I54" s="234">
        <f ca="1">TblPop[[#This Row],[Employment]]</f>
        <v>1</v>
      </c>
      <c r="J54" s="234">
        <f ca="1">TblPop[[#This Row],[Total]]/TblPop[[#This Row],[Net max]]</f>
        <v>0.96400558719243579</v>
      </c>
      <c r="K54" s="373">
        <f>TblRezone[[#This Row],[Hour]]</f>
        <v>51</v>
      </c>
      <c r="L54" s="374">
        <f ca="1">TblImps[[#This Row],[Real time]]</f>
        <v>44406.833333333212</v>
      </c>
      <c r="M54" s="74">
        <f>IF(ISERROR(TblImps[[#This Row],[algorithm]]),0,TblImps[[#This Row],[algorithm]]*1)</f>
        <v>1</v>
      </c>
      <c r="N54" s="113">
        <f ca="1">TblImps[[#This Row],[Land]]</f>
        <v>600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4" s="74">
        <f>TblImps[[#This Row],[Login]]</f>
        <v>1</v>
      </c>
      <c r="BX54" s="178"/>
      <c r="BY54" s="386">
        <f ca="1">OFFSET(TblImps[[#This Row],[Real time]],-1,0)+1/24</f>
        <v>44406.833333333212</v>
      </c>
      <c r="BZ54" s="387">
        <f ca="1">OFFSET(TblImps[[#This Row],[Servertime]],-1,0)+1/24</f>
        <v>44407.083333333212</v>
      </c>
      <c r="CA54" s="141"/>
      <c r="CB54" s="385"/>
      <c r="CC54" s="385"/>
    </row>
    <row r="55" spans="1:81" x14ac:dyDescent="0.2">
      <c r="A55" s="280">
        <f ca="1">TblConstr[[#This Row],[Land]]</f>
        <v>600</v>
      </c>
      <c r="B55" s="184"/>
      <c r="C55" s="113">
        <f ca="1">TblProd[[#This Row],[Platinum]]</f>
        <v>285615</v>
      </c>
      <c r="D55" s="113">
        <f ca="1">TblProd[[#This Row],[Lumber]]</f>
        <v>18909</v>
      </c>
      <c r="E55" s="113">
        <f ca="1">TblProd[[#This Row],[Ore]]</f>
        <v>36600</v>
      </c>
      <c r="F55" s="113">
        <f ca="1">TblProd[[#This Row],[Gems]]</f>
        <v>0</v>
      </c>
      <c r="G55" s="200"/>
      <c r="H55" s="113">
        <f ca="1">TblMili[[#This Row],[Draftees]]</f>
        <v>854</v>
      </c>
      <c r="I55" s="234">
        <f ca="1">TblPop[[#This Row],[Employment]]</f>
        <v>1</v>
      </c>
      <c r="J55" s="234">
        <f ca="1">TblPop[[#This Row],[Total]]/TblPop[[#This Row],[Net max]]</f>
        <v>1</v>
      </c>
      <c r="K55" s="373">
        <f>TblRezone[[#This Row],[Hour]]</f>
        <v>52</v>
      </c>
      <c r="L55" s="374">
        <f ca="1">TblImps[[#This Row],[Real time]]</f>
        <v>44406.874999999876</v>
      </c>
      <c r="M55" s="74">
        <f>IF(ISERROR(TblImps[[#This Row],[algorithm]]),0,TblImps[[#This Row],[algorithm]]*1)</f>
        <v>1</v>
      </c>
      <c r="N55" s="113">
        <f ca="1">TblImps[[#This Row],[Land]]</f>
        <v>600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5" s="74">
        <f>TblImps[[#This Row],[Login]]</f>
        <v>1</v>
      </c>
      <c r="BX55" s="178"/>
      <c r="BY55" s="386">
        <f ca="1">OFFSET(TblImps[[#This Row],[Real time]],-1,0)+1/24</f>
        <v>44406.874999999876</v>
      </c>
      <c r="BZ55" s="387">
        <f ca="1">OFFSET(TblImps[[#This Row],[Servertime]],-1,0)+1/24</f>
        <v>44407.124999999876</v>
      </c>
      <c r="CA55" s="141"/>
      <c r="CB55" s="385"/>
      <c r="CC55" s="385"/>
    </row>
    <row r="56" spans="1:81" x14ac:dyDescent="0.2">
      <c r="A56" s="280">
        <f ca="1">TblConstr[[#This Row],[Land]]</f>
        <v>600</v>
      </c>
      <c r="B56" s="184"/>
      <c r="C56" s="113">
        <f ca="1">TblProd[[#This Row],[Platinum]]</f>
        <v>323853</v>
      </c>
      <c r="D56" s="113">
        <f ca="1">TblProd[[#This Row],[Lumber]]</f>
        <v>19720</v>
      </c>
      <c r="E56" s="113">
        <f ca="1">TblProd[[#This Row],[Ore]]</f>
        <v>38400</v>
      </c>
      <c r="F56" s="113">
        <f ca="1">TblProd[[#This Row],[Gems]]</f>
        <v>0</v>
      </c>
      <c r="G56" s="200"/>
      <c r="H56" s="113">
        <f ca="1">TblMili[[#This Row],[Draftees]]</f>
        <v>939</v>
      </c>
      <c r="I56" s="234">
        <f ca="1">TblPop[[#This Row],[Employment]]</f>
        <v>1</v>
      </c>
      <c r="J56" s="234">
        <f ca="1">TblPop[[#This Row],[Total]]/TblPop[[#This Row],[Net max]]</f>
        <v>1</v>
      </c>
      <c r="K56" s="373">
        <f>TblRezone[[#This Row],[Hour]]</f>
        <v>53</v>
      </c>
      <c r="L56" s="374">
        <f ca="1">TblImps[[#This Row],[Real time]]</f>
        <v>44406.916666666541</v>
      </c>
      <c r="M56" s="74">
        <f>IF(ISERROR(TblImps[[#This Row],[algorithm]]),0,TblImps[[#This Row],[algorithm]]*1)</f>
        <v>0</v>
      </c>
      <c r="N56" s="113">
        <f ca="1">TblImps[[#This Row],[Land]]</f>
        <v>600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44406.916666666541</v>
      </c>
      <c r="BZ56" s="387">
        <f ca="1">OFFSET(TblImps[[#This Row],[Servertime]],-1,0)+1/24</f>
        <v>44407.166666666541</v>
      </c>
      <c r="CA56" s="141"/>
      <c r="CB56" s="385"/>
      <c r="CC56" s="385"/>
    </row>
    <row r="57" spans="1:81" x14ac:dyDescent="0.2">
      <c r="A57" s="280">
        <f ca="1">TblConstr[[#This Row],[Land]]</f>
        <v>600</v>
      </c>
      <c r="B57" s="184"/>
      <c r="C57" s="113">
        <f ca="1">TblProd[[#This Row],[Platinum]]</f>
        <v>361839</v>
      </c>
      <c r="D57" s="113">
        <f ca="1">TblProd[[#This Row],[Lumber]]</f>
        <v>20523</v>
      </c>
      <c r="E57" s="113">
        <f ca="1">TblProd[[#This Row],[Ore]]</f>
        <v>40200</v>
      </c>
      <c r="F57" s="113">
        <f ca="1">TblProd[[#This Row],[Gems]]</f>
        <v>0</v>
      </c>
      <c r="G57" s="200"/>
      <c r="H57" s="113">
        <f ca="1">TblMili[[#This Row],[Draftees]]</f>
        <v>1023</v>
      </c>
      <c r="I57" s="234">
        <f ca="1">TblPop[[#This Row],[Employment]]</f>
        <v>1</v>
      </c>
      <c r="J57" s="234">
        <f ca="1">TblPop[[#This Row],[Total]]/TblPop[[#This Row],[Net max]]</f>
        <v>1</v>
      </c>
      <c r="K57" s="373">
        <f>TblRezone[[#This Row],[Hour]]</f>
        <v>54</v>
      </c>
      <c r="L57" s="374">
        <f ca="1">TblImps[[#This Row],[Real time]]</f>
        <v>44406.958333333205</v>
      </c>
      <c r="M57" s="74">
        <f>IF(ISERROR(TblImps[[#This Row],[algorithm]]),0,TblImps[[#This Row],[algorithm]]*1)</f>
        <v>0</v>
      </c>
      <c r="N57" s="113">
        <f ca="1">TblImps[[#This Row],[Land]]</f>
        <v>600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44406.958333333205</v>
      </c>
      <c r="BZ57" s="387">
        <f ca="1">OFFSET(TblImps[[#This Row],[Servertime]],-1,0)+1/24</f>
        <v>44407.208333333205</v>
      </c>
      <c r="CA57" s="141"/>
      <c r="CB57" s="385"/>
      <c r="CC57" s="385"/>
    </row>
    <row r="58" spans="1:81" x14ac:dyDescent="0.2">
      <c r="A58" s="280">
        <f ca="1">TblConstr[[#This Row],[Land]]</f>
        <v>600</v>
      </c>
      <c r="B58" s="184"/>
      <c r="C58" s="113">
        <f ca="1">TblProd[[#This Row],[Platinum]]</f>
        <v>399575</v>
      </c>
      <c r="D58" s="113">
        <f ca="1">TblProd[[#This Row],[Lumber]]</f>
        <v>21318</v>
      </c>
      <c r="E58" s="113">
        <f ca="1">TblProd[[#This Row],[Ore]]</f>
        <v>42000</v>
      </c>
      <c r="F58" s="113">
        <f ca="1">TblProd[[#This Row],[Gems]]</f>
        <v>0</v>
      </c>
      <c r="G58" s="200"/>
      <c r="H58" s="113">
        <f ca="1">TblMili[[#This Row],[Draftees]]</f>
        <v>1106</v>
      </c>
      <c r="I58" s="234">
        <f ca="1">TblPop[[#This Row],[Employment]]</f>
        <v>1</v>
      </c>
      <c r="J58" s="234">
        <f ca="1">TblPop[[#This Row],[Total]]/TblPop[[#This Row],[Net max]]</f>
        <v>1</v>
      </c>
      <c r="K58" s="373">
        <f>TblRezone[[#This Row],[Hour]]</f>
        <v>55</v>
      </c>
      <c r="L58" s="374">
        <f ca="1">TblImps[[#This Row],[Real time]]</f>
        <v>44406.999999999869</v>
      </c>
      <c r="M58" s="74">
        <f>IF(ISERROR(TblImps[[#This Row],[algorithm]]),0,TblImps[[#This Row],[algorithm]]*1)</f>
        <v>0</v>
      </c>
      <c r="N58" s="113">
        <f ca="1">TblImps[[#This Row],[Land]]</f>
        <v>600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44406.999999999869</v>
      </c>
      <c r="BZ58" s="387">
        <f ca="1">OFFSET(TblImps[[#This Row],[Servertime]],-1,0)+1/24</f>
        <v>44407.249999999869</v>
      </c>
      <c r="CA58" s="141"/>
      <c r="CB58" s="385"/>
      <c r="CC58" s="385"/>
    </row>
    <row r="59" spans="1:81" x14ac:dyDescent="0.2">
      <c r="A59" s="280">
        <f ca="1">TblConstr[[#This Row],[Land]]</f>
        <v>600</v>
      </c>
      <c r="B59" s="184"/>
      <c r="C59" s="113">
        <f ca="1">TblProd[[#This Row],[Platinum]]</f>
        <v>437065</v>
      </c>
      <c r="D59" s="113">
        <f ca="1">TblProd[[#This Row],[Lumber]]</f>
        <v>22105</v>
      </c>
      <c r="E59" s="113">
        <f ca="1">TblProd[[#This Row],[Ore]]</f>
        <v>43800</v>
      </c>
      <c r="F59" s="113">
        <f ca="1">TblProd[[#This Row],[Gems]]</f>
        <v>0</v>
      </c>
      <c r="G59" s="200"/>
      <c r="H59" s="113">
        <f ca="1">TblMili[[#This Row],[Draftees]]</f>
        <v>1188</v>
      </c>
      <c r="I59" s="234">
        <f ca="1">TblPop[[#This Row],[Employment]]</f>
        <v>1</v>
      </c>
      <c r="J59" s="234">
        <f ca="1">TblPop[[#This Row],[Total]]/TblPop[[#This Row],[Net max]]</f>
        <v>1</v>
      </c>
      <c r="K59" s="373">
        <f>TblRezone[[#This Row],[Hour]]</f>
        <v>56</v>
      </c>
      <c r="L59" s="374">
        <f ca="1">TblImps[[#This Row],[Real time]]</f>
        <v>44407.041666666533</v>
      </c>
      <c r="M59" s="74">
        <f>IF(ISERROR(TblImps[[#This Row],[algorithm]]),0,TblImps[[#This Row],[algorithm]]*1)</f>
        <v>0</v>
      </c>
      <c r="N59" s="113">
        <f ca="1">TblImps[[#This Row],[Land]]</f>
        <v>600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44407.041666666533</v>
      </c>
      <c r="BZ59" s="387">
        <f ca="1">OFFSET(TblImps[[#This Row],[Servertime]],-1,0)+1/24</f>
        <v>44407.291666666533</v>
      </c>
      <c r="CA59" s="141"/>
      <c r="CB59" s="385"/>
      <c r="CC59" s="385"/>
    </row>
    <row r="60" spans="1:81" x14ac:dyDescent="0.2">
      <c r="A60" s="280">
        <f ca="1">TblConstr[[#This Row],[Land]]</f>
        <v>600</v>
      </c>
      <c r="B60" s="184"/>
      <c r="C60" s="113">
        <f ca="1">TblProd[[#This Row],[Platinum]]</f>
        <v>474311</v>
      </c>
      <c r="D60" s="113">
        <f ca="1">TblProd[[#This Row],[Lumber]]</f>
        <v>22884</v>
      </c>
      <c r="E60" s="113">
        <f ca="1">TblProd[[#This Row],[Ore]]</f>
        <v>45600</v>
      </c>
      <c r="F60" s="113">
        <f ca="1">TblProd[[#This Row],[Gems]]</f>
        <v>0</v>
      </c>
      <c r="G60" s="200"/>
      <c r="H60" s="113">
        <f ca="1">TblMili[[#This Row],[Draftees]]</f>
        <v>1269</v>
      </c>
      <c r="I60" s="234">
        <f ca="1">TblPop[[#This Row],[Employment]]</f>
        <v>1</v>
      </c>
      <c r="J60" s="234">
        <f ca="1">TblPop[[#This Row],[Total]]/TblPop[[#This Row],[Net max]]</f>
        <v>1</v>
      </c>
      <c r="K60" s="373">
        <f>TblRezone[[#This Row],[Hour]]</f>
        <v>57</v>
      </c>
      <c r="L60" s="374">
        <f ca="1">TblImps[[#This Row],[Real time]]</f>
        <v>44407.083333333198</v>
      </c>
      <c r="M60" s="74">
        <f>IF(ISERROR(TblImps[[#This Row],[algorithm]]),0,TblImps[[#This Row],[algorithm]]*1)</f>
        <v>0</v>
      </c>
      <c r="N60" s="113">
        <f ca="1">TblImps[[#This Row],[Land]]</f>
        <v>600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44407.083333333198</v>
      </c>
      <c r="BZ60" s="387">
        <f ca="1">OFFSET(TblImps[[#This Row],[Servertime]],-1,0)+1/24</f>
        <v>44407.333333333198</v>
      </c>
      <c r="CA60" s="141"/>
      <c r="CB60" s="385"/>
      <c r="CC60" s="385"/>
    </row>
    <row r="61" spans="1:81" x14ac:dyDescent="0.2">
      <c r="A61" s="280">
        <f ca="1">TblConstr[[#This Row],[Land]]</f>
        <v>600</v>
      </c>
      <c r="B61" s="184"/>
      <c r="C61" s="113">
        <f ca="1">TblProd[[#This Row],[Platinum]]</f>
        <v>511317</v>
      </c>
      <c r="D61" s="113">
        <f ca="1">TblProd[[#This Row],[Lumber]]</f>
        <v>23655</v>
      </c>
      <c r="E61" s="113">
        <f ca="1">TblProd[[#This Row],[Ore]]</f>
        <v>47400</v>
      </c>
      <c r="F61" s="113">
        <f ca="1">TblProd[[#This Row],[Gems]]</f>
        <v>0</v>
      </c>
      <c r="G61" s="200"/>
      <c r="H61" s="113">
        <f ca="1">TblMili[[#This Row],[Draftees]]</f>
        <v>1350</v>
      </c>
      <c r="I61" s="234">
        <f ca="1">TblPop[[#This Row],[Employment]]</f>
        <v>1</v>
      </c>
      <c r="J61" s="234">
        <f ca="1">TblPop[[#This Row],[Total]]/TblPop[[#This Row],[Net max]]</f>
        <v>1</v>
      </c>
      <c r="K61" s="373">
        <f>TblRezone[[#This Row],[Hour]]</f>
        <v>58</v>
      </c>
      <c r="L61" s="374">
        <f ca="1">TblImps[[#This Row],[Real time]]</f>
        <v>44407.124999999862</v>
      </c>
      <c r="M61" s="74">
        <f>IF(ISERROR(TblImps[[#This Row],[algorithm]]),0,TblImps[[#This Row],[algorithm]]*1)</f>
        <v>0</v>
      </c>
      <c r="N61" s="113">
        <f ca="1">TblImps[[#This Row],[Land]]</f>
        <v>600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44407.124999999862</v>
      </c>
      <c r="BZ61" s="387">
        <f ca="1">OFFSET(TblImps[[#This Row],[Servertime]],-1,0)+1/24</f>
        <v>44407.374999999862</v>
      </c>
      <c r="CA61" s="141"/>
      <c r="CB61" s="385"/>
      <c r="CC61" s="385"/>
    </row>
    <row r="62" spans="1:81" x14ac:dyDescent="0.2">
      <c r="A62" s="280">
        <f ca="1">TblConstr[[#This Row],[Land]]</f>
        <v>600</v>
      </c>
      <c r="B62" s="184"/>
      <c r="C62" s="113">
        <f ca="1">TblProd[[#This Row],[Platinum]]</f>
        <v>548082</v>
      </c>
      <c r="D62" s="113">
        <f ca="1">TblProd[[#This Row],[Lumber]]</f>
        <v>24418</v>
      </c>
      <c r="E62" s="113">
        <f ca="1">TblProd[[#This Row],[Ore]]</f>
        <v>49200</v>
      </c>
      <c r="F62" s="113">
        <f ca="1">TblProd[[#This Row],[Gems]]</f>
        <v>0</v>
      </c>
      <c r="G62" s="200"/>
      <c r="H62" s="113">
        <f ca="1">TblMili[[#This Row],[Draftees]]</f>
        <v>1430</v>
      </c>
      <c r="I62" s="234">
        <f ca="1">TblPop[[#This Row],[Employment]]</f>
        <v>1</v>
      </c>
      <c r="J62" s="234">
        <f ca="1">TblPop[[#This Row],[Total]]/TblPop[[#This Row],[Net max]]</f>
        <v>1</v>
      </c>
      <c r="K62" s="373">
        <f>TblRezone[[#This Row],[Hour]]</f>
        <v>59</v>
      </c>
      <c r="L62" s="374">
        <f ca="1">TblImps[[#This Row],[Real time]]</f>
        <v>44407.166666666526</v>
      </c>
      <c r="M62" s="74">
        <f>IF(ISERROR(TblImps[[#This Row],[algorithm]]),0,TblImps[[#This Row],[algorithm]]*1)</f>
        <v>0</v>
      </c>
      <c r="N62" s="113">
        <f ca="1">TblImps[[#This Row],[Land]]</f>
        <v>600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44407.166666666526</v>
      </c>
      <c r="BZ62" s="387">
        <f ca="1">OFFSET(TblImps[[#This Row],[Servertime]],-1,0)+1/24</f>
        <v>44407.416666666526</v>
      </c>
      <c r="CA62" s="141"/>
      <c r="CB62" s="385"/>
      <c r="CC62" s="385"/>
    </row>
    <row r="63" spans="1:81" x14ac:dyDescent="0.2">
      <c r="A63" s="280">
        <f ca="1">TblConstr[[#This Row],[Land]]</f>
        <v>600</v>
      </c>
      <c r="B63" s="184"/>
      <c r="C63" s="113">
        <f ca="1">TblProd[[#This Row],[Platinum]]</f>
        <v>584610</v>
      </c>
      <c r="D63" s="113">
        <f ca="1">TblProd[[#This Row],[Lumber]]</f>
        <v>25174</v>
      </c>
      <c r="E63" s="113">
        <f ca="1">TblProd[[#This Row],[Ore]]</f>
        <v>51000</v>
      </c>
      <c r="F63" s="113">
        <f ca="1">TblProd[[#This Row],[Gems]]</f>
        <v>0</v>
      </c>
      <c r="G63" s="200"/>
      <c r="H63" s="113">
        <f ca="1">TblMili[[#This Row],[Draftees]]</f>
        <v>1509</v>
      </c>
      <c r="I63" s="234">
        <f ca="1">TblPop[[#This Row],[Employment]]</f>
        <v>1</v>
      </c>
      <c r="J63" s="234">
        <f ca="1">TblPop[[#This Row],[Total]]/TblPop[[#This Row],[Net max]]</f>
        <v>1</v>
      </c>
      <c r="K63" s="373">
        <f>TblRezone[[#This Row],[Hour]]</f>
        <v>60</v>
      </c>
      <c r="L63" s="374">
        <f ca="1">TblImps[[#This Row],[Real time]]</f>
        <v>44407.20833333319</v>
      </c>
      <c r="M63" s="74">
        <f>IF(ISERROR(TblImps[[#This Row],[algorithm]]),0,TblImps[[#This Row],[algorithm]]*1)</f>
        <v>0</v>
      </c>
      <c r="N63" s="113">
        <f ca="1">TblImps[[#This Row],[Land]]</f>
        <v>600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44407.20833333319</v>
      </c>
      <c r="BZ63" s="387">
        <f ca="1">OFFSET(TblImps[[#This Row],[Servertime]],-1,0)+1/24</f>
        <v>44407.45833333319</v>
      </c>
      <c r="CA63" s="141"/>
      <c r="CB63" s="385"/>
      <c r="CC63" s="385"/>
    </row>
    <row r="64" spans="1:81" x14ac:dyDescent="0.2">
      <c r="A64" s="280">
        <f ca="1">TblConstr[[#This Row],[Land]]</f>
        <v>600</v>
      </c>
      <c r="B64" s="184"/>
      <c r="C64" s="113">
        <f ca="1">TblProd[[#This Row],[Platinum]]</f>
        <v>81283</v>
      </c>
      <c r="D64" s="113">
        <f ca="1">TblProd[[#This Row],[Lumber]]</f>
        <v>25922</v>
      </c>
      <c r="E64" s="113">
        <f ca="1">TblProd[[#This Row],[Ore]]</f>
        <v>8400</v>
      </c>
      <c r="F64" s="113">
        <f ca="1">TblProd[[#This Row],[Gems]]</f>
        <v>0</v>
      </c>
      <c r="G64" s="200"/>
      <c r="H64" s="113">
        <f ca="1">TblMili[[#This Row],[Draftees]]</f>
        <v>842</v>
      </c>
      <c r="I64" s="234">
        <f ca="1">TblPop[[#This Row],[Employment]]</f>
        <v>1</v>
      </c>
      <c r="J64" s="234">
        <f ca="1">TblPop[[#This Row],[Total]]/TblPop[[#This Row],[Net max]]</f>
        <v>1</v>
      </c>
      <c r="K64" s="373">
        <f>TblRezone[[#This Row],[Hour]]</f>
        <v>61</v>
      </c>
      <c r="L64" s="374">
        <f ca="1">TblImps[[#This Row],[Real time]]</f>
        <v>44407.249999999854</v>
      </c>
      <c r="M64" s="74">
        <f>IF(ISERROR(TblImps[[#This Row],[algorithm]]),0,TblImps[[#This Row],[algorithm]]*1)</f>
        <v>1</v>
      </c>
      <c r="N64" s="113">
        <f ca="1">TblImps[[#This Row],[Land]]</f>
        <v>600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64" s="74">
        <f>TblImps[[#This Row],[Login]]</f>
        <v>1</v>
      </c>
      <c r="BX64" s="178"/>
      <c r="BY64" s="386">
        <f ca="1">OFFSET(TblImps[[#This Row],[Real time]],-1,0)+1/24</f>
        <v>44407.249999999854</v>
      </c>
      <c r="BZ64" s="387">
        <f ca="1">OFFSET(TblImps[[#This Row],[Servertime]],-1,0)+1/24</f>
        <v>44407.499999999854</v>
      </c>
      <c r="CA64" s="141"/>
      <c r="CB64" s="385"/>
      <c r="CC64" s="385"/>
    </row>
    <row r="65" spans="1:84" x14ac:dyDescent="0.2">
      <c r="A65" s="280">
        <f ca="1">TblConstr[[#This Row],[Land]]</f>
        <v>600</v>
      </c>
      <c r="B65" s="184"/>
      <c r="C65" s="113">
        <f ca="1">TblProd[[#This Row],[Platinum]]</f>
        <v>118393</v>
      </c>
      <c r="D65" s="113">
        <f ca="1">TblProd[[#This Row],[Lumber]]</f>
        <v>26663</v>
      </c>
      <c r="E65" s="113">
        <f ca="1">TblProd[[#This Row],[Ore]]</f>
        <v>10200</v>
      </c>
      <c r="F65" s="113">
        <f ca="1">TblProd[[#This Row],[Gems]]</f>
        <v>0</v>
      </c>
      <c r="G65" s="200"/>
      <c r="H65" s="113">
        <f ca="1">TblMili[[#This Row],[Draftees]]</f>
        <v>923</v>
      </c>
      <c r="I65" s="234">
        <f ca="1">TblPop[[#This Row],[Employment]]</f>
        <v>1</v>
      </c>
      <c r="J65" s="234">
        <f ca="1">TblPop[[#This Row],[Total]]/TblPop[[#This Row],[Net max]]</f>
        <v>1</v>
      </c>
      <c r="K65" s="373">
        <f>TblRezone[[#This Row],[Hour]]</f>
        <v>62</v>
      </c>
      <c r="L65" s="374">
        <f ca="1">TblImps[[#This Row],[Real time]]</f>
        <v>44407.291666666519</v>
      </c>
      <c r="M65" s="74">
        <f>IF(ISERROR(TblImps[[#This Row],[algorithm]]),0,TblImps[[#This Row],[algorithm]]*1)</f>
        <v>0</v>
      </c>
      <c r="N65" s="113">
        <f ca="1">TblImps[[#This Row],[Land]]</f>
        <v>600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44407.291666666519</v>
      </c>
      <c r="BZ65" s="387">
        <f ca="1">OFFSET(TblImps[[#This Row],[Servertime]],-1,0)+1/24</f>
        <v>44407.541666666519</v>
      </c>
      <c r="CA65" s="141"/>
      <c r="CB65" s="385"/>
      <c r="CC65" s="385"/>
    </row>
    <row r="66" spans="1:84" x14ac:dyDescent="0.2">
      <c r="A66" s="280">
        <f ca="1">TblConstr[[#This Row],[Land]]</f>
        <v>600</v>
      </c>
      <c r="B66" s="184"/>
      <c r="C66" s="113">
        <f ca="1">TblProd[[#This Row],[Platinum]]</f>
        <v>155627</v>
      </c>
      <c r="D66" s="113">
        <f ca="1">TblProd[[#This Row],[Lumber]]</f>
        <v>27396</v>
      </c>
      <c r="E66" s="113">
        <f ca="1">TblProd[[#This Row],[Ore]]</f>
        <v>12000</v>
      </c>
      <c r="F66" s="113">
        <f ca="1">TblProd[[#This Row],[Gems]]</f>
        <v>0</v>
      </c>
      <c r="G66" s="200"/>
      <c r="H66" s="113">
        <f ca="1">TblMili[[#This Row],[Draftees]]</f>
        <v>1004</v>
      </c>
      <c r="I66" s="234">
        <f ca="1">TblPop[[#This Row],[Employment]]</f>
        <v>1</v>
      </c>
      <c r="J66" s="234">
        <f ca="1">TblPop[[#This Row],[Total]]/TblPop[[#This Row],[Net max]]</f>
        <v>1</v>
      </c>
      <c r="K66" s="373">
        <f>TblRezone[[#This Row],[Hour]]</f>
        <v>63</v>
      </c>
      <c r="L66" s="374">
        <f ca="1">TblImps[[#This Row],[Real time]]</f>
        <v>44407.333333333183</v>
      </c>
      <c r="M66" s="74">
        <f>IF(ISERROR(TblImps[[#This Row],[algorithm]]),0,TblImps[[#This Row],[algorithm]]*1)</f>
        <v>0</v>
      </c>
      <c r="N66" s="113">
        <f ca="1">TblImps[[#This Row],[Land]]</f>
        <v>600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44407.333333333183</v>
      </c>
      <c r="BZ66" s="387">
        <f ca="1">OFFSET(TblImps[[#This Row],[Servertime]],-1,0)+1/24</f>
        <v>44407.583333333183</v>
      </c>
      <c r="CA66" s="390"/>
      <c r="CB66" s="385"/>
      <c r="CC66" s="385"/>
    </row>
    <row r="67" spans="1:84" x14ac:dyDescent="0.2">
      <c r="A67" s="280">
        <f ca="1">TblConstr[[#This Row],[Land]]</f>
        <v>600</v>
      </c>
      <c r="B67" s="184"/>
      <c r="C67" s="113">
        <f ca="1">TblProd[[#This Row],[Platinum]]</f>
        <v>2686</v>
      </c>
      <c r="D67" s="113">
        <f ca="1">TblProd[[#This Row],[Lumber]]</f>
        <v>28122</v>
      </c>
      <c r="E67" s="113">
        <f ca="1">TblProd[[#This Row],[Ore]]</f>
        <v>2990</v>
      </c>
      <c r="F67" s="113">
        <f ca="1">TblProd[[#This Row],[Gems]]</f>
        <v>0</v>
      </c>
      <c r="G67" s="200"/>
      <c r="H67" s="113">
        <f ca="1">TblMili[[#This Row],[Draftees]]</f>
        <v>5</v>
      </c>
      <c r="I67" s="234">
        <f ca="1">TblPop[[#This Row],[Employment]]</f>
        <v>1</v>
      </c>
      <c r="J67" s="234">
        <f ca="1">TblPop[[#This Row],[Total]]/TblPop[[#This Row],[Net max]]</f>
        <v>1</v>
      </c>
      <c r="K67" s="373">
        <f>TblRezone[[#This Row],[Hour]]</f>
        <v>64</v>
      </c>
      <c r="L67" s="374">
        <f ca="1">TblImps[[#This Row],[Real time]]</f>
        <v>44407.374999999847</v>
      </c>
      <c r="M67" s="74">
        <f>IF(ISERROR(TblImps[[#This Row],[algorithm]]),0,TblImps[[#This Row],[algorithm]]*1)</f>
        <v>1</v>
      </c>
      <c r="N67" s="113">
        <f ca="1">TblImps[[#This Row],[Land]]</f>
        <v>600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67" s="74">
        <f>TblImps[[#This Row],[Login]]</f>
        <v>1</v>
      </c>
      <c r="BX67" s="178"/>
      <c r="BY67" s="386">
        <f ca="1">OFFSET(TblImps[[#This Row],[Real time]],-1,0)+1/24</f>
        <v>44407.374999999847</v>
      </c>
      <c r="BZ67" s="387">
        <f ca="1">OFFSET(TblImps[[#This Row],[Servertime]],-1,0)+1/24</f>
        <v>44407.624999999847</v>
      </c>
      <c r="CA67" s="141"/>
      <c r="CB67" s="385"/>
      <c r="CC67" s="385"/>
    </row>
    <row r="68" spans="1:84" x14ac:dyDescent="0.2">
      <c r="A68" s="280">
        <f ca="1">TblConstr[[#This Row],[Land]]</f>
        <v>600</v>
      </c>
      <c r="B68" s="184"/>
      <c r="C68" s="113">
        <f ca="1">TblProd[[#This Row],[Platinum]]</f>
        <v>39757</v>
      </c>
      <c r="D68" s="113">
        <f ca="1">TblProd[[#This Row],[Lumber]]</f>
        <v>28841</v>
      </c>
      <c r="E68" s="113">
        <f ca="1">TblProd[[#This Row],[Ore]]</f>
        <v>4790</v>
      </c>
      <c r="F68" s="113">
        <f ca="1">TblProd[[#This Row],[Gems]]</f>
        <v>0</v>
      </c>
      <c r="G68" s="200"/>
      <c r="H68" s="113">
        <f ca="1">TblMili[[#This Row],[Draftees]]</f>
        <v>86</v>
      </c>
      <c r="I68" s="234">
        <f ca="1">TblPop[[#This Row],[Employment]]</f>
        <v>1</v>
      </c>
      <c r="J68" s="234">
        <f ca="1">TblPop[[#This Row],[Total]]/TblPop[[#This Row],[Net max]]</f>
        <v>1</v>
      </c>
      <c r="K68" s="373">
        <f>TblRezone[[#This Row],[Hour]]</f>
        <v>65</v>
      </c>
      <c r="L68" s="374">
        <f ca="1">TblImps[[#This Row],[Real time]]</f>
        <v>44407.416666666511</v>
      </c>
      <c r="M68" s="74">
        <f>IF(ISERROR(TblImps[[#This Row],[algorithm]]),0,TblImps[[#This Row],[algorithm]]*1)</f>
        <v>0</v>
      </c>
      <c r="N68" s="113">
        <f ca="1">TblImps[[#This Row],[Land]]</f>
        <v>600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44407.416666666511</v>
      </c>
      <c r="BZ68" s="387">
        <f ca="1">OFFSET(TblImps[[#This Row],[Servertime]],-1,0)+1/24</f>
        <v>44407.666666666511</v>
      </c>
      <c r="CA68" s="141"/>
      <c r="CB68" s="385"/>
      <c r="CC68" s="385"/>
    </row>
    <row r="69" spans="1:84" x14ac:dyDescent="0.2">
      <c r="A69" s="280">
        <f ca="1">TblConstr[[#This Row],[Land]]</f>
        <v>600</v>
      </c>
      <c r="B69" s="184"/>
      <c r="C69" s="113">
        <f ca="1">TblProd[[#This Row],[Platinum]]</f>
        <v>76587</v>
      </c>
      <c r="D69" s="113">
        <f ca="1">TblProd[[#This Row],[Lumber]]</f>
        <v>29553</v>
      </c>
      <c r="E69" s="113">
        <f ca="1">TblProd[[#This Row],[Ore]]</f>
        <v>6590</v>
      </c>
      <c r="F69" s="113">
        <f ca="1">TblProd[[#This Row],[Gems]]</f>
        <v>0</v>
      </c>
      <c r="G69" s="200"/>
      <c r="H69" s="113">
        <f ca="1">TblMili[[#This Row],[Draftees]]</f>
        <v>166</v>
      </c>
      <c r="I69" s="234">
        <f ca="1">TblPop[[#This Row],[Employment]]</f>
        <v>1</v>
      </c>
      <c r="J69" s="234">
        <f ca="1">TblPop[[#This Row],[Total]]/TblPop[[#This Row],[Net max]]</f>
        <v>1</v>
      </c>
      <c r="K69" s="373">
        <f>TblRezone[[#This Row],[Hour]]</f>
        <v>66</v>
      </c>
      <c r="L69" s="374">
        <f ca="1">TblImps[[#This Row],[Real time]]</f>
        <v>44407.458333333176</v>
      </c>
      <c r="M69" s="74">
        <f>IF(ISERROR(TblImps[[#This Row],[algorithm]]),0,TblImps[[#This Row],[algorithm]]*1)</f>
        <v>0</v>
      </c>
      <c r="N69" s="113">
        <f ca="1">TblImps[[#This Row],[Land]]</f>
        <v>600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44407.458333333176</v>
      </c>
      <c r="BZ69" s="387">
        <f ca="1">OFFSET(TblImps[[#This Row],[Servertime]],-1,0)+1/24</f>
        <v>44407.708333333176</v>
      </c>
      <c r="CA69" s="141"/>
      <c r="CB69" s="385"/>
      <c r="CC69" s="385"/>
    </row>
    <row r="70" spans="1:84" x14ac:dyDescent="0.2">
      <c r="A70" s="280">
        <f ca="1">TblConstr[[#This Row],[Land]]</f>
        <v>600</v>
      </c>
      <c r="B70" s="184"/>
      <c r="C70" s="113">
        <f ca="1">TblProd[[#This Row],[Platinum]]</f>
        <v>113180</v>
      </c>
      <c r="D70" s="113">
        <f ca="1">TblProd[[#This Row],[Lumber]]</f>
        <v>30257</v>
      </c>
      <c r="E70" s="113">
        <f ca="1">TblProd[[#This Row],[Ore]]</f>
        <v>8390</v>
      </c>
      <c r="F70" s="113">
        <f ca="1">TblProd[[#This Row],[Gems]]</f>
        <v>0</v>
      </c>
      <c r="G70" s="200"/>
      <c r="H70" s="113">
        <f ca="1">TblMili[[#This Row],[Draftees]]</f>
        <v>245</v>
      </c>
      <c r="I70" s="234">
        <f ca="1">TblPop[[#This Row],[Employment]]</f>
        <v>1</v>
      </c>
      <c r="J70" s="234">
        <f ca="1">TblPop[[#This Row],[Total]]/TblPop[[#This Row],[Net max]]</f>
        <v>1</v>
      </c>
      <c r="K70" s="373">
        <f>TblRezone[[#This Row],[Hour]]</f>
        <v>67</v>
      </c>
      <c r="L70" s="374">
        <f ca="1">TblImps[[#This Row],[Real time]]</f>
        <v>44407.49999999984</v>
      </c>
      <c r="M70" s="74">
        <f>IF(ISERROR(TblImps[[#This Row],[algorithm]]),0,TblImps[[#This Row],[algorithm]]*1)</f>
        <v>0</v>
      </c>
      <c r="N70" s="113">
        <f ca="1">TblImps[[#This Row],[Land]]</f>
        <v>600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44407.49999999984</v>
      </c>
      <c r="BZ70" s="387">
        <f ca="1">OFFSET(TblImps[[#This Row],[Servertime]],-1,0)+1/24</f>
        <v>44407.74999999984</v>
      </c>
      <c r="CA70" s="141"/>
      <c r="CB70" s="385"/>
      <c r="CC70" s="385"/>
    </row>
    <row r="71" spans="1:84" x14ac:dyDescent="0.2">
      <c r="A71" s="280">
        <f ca="1">TblConstr[[#This Row],[Land]]</f>
        <v>600</v>
      </c>
      <c r="B71" s="184"/>
      <c r="C71" s="113">
        <f ca="1">TblProd[[#This Row],[Platinum]]</f>
        <v>149538</v>
      </c>
      <c r="D71" s="113">
        <f ca="1">TblProd[[#This Row],[Lumber]]</f>
        <v>30954</v>
      </c>
      <c r="E71" s="113">
        <f ca="1">TblProd[[#This Row],[Ore]]</f>
        <v>10190</v>
      </c>
      <c r="F71" s="113">
        <f ca="1">TblProd[[#This Row],[Gems]]</f>
        <v>0</v>
      </c>
      <c r="G71" s="200"/>
      <c r="H71" s="113">
        <f ca="1">TblMili[[#This Row],[Draftees]]</f>
        <v>323</v>
      </c>
      <c r="I71" s="234">
        <f ca="1">TblPop[[#This Row],[Employment]]</f>
        <v>1</v>
      </c>
      <c r="J71" s="234">
        <f ca="1">TblPop[[#This Row],[Total]]/TblPop[[#This Row],[Net max]]</f>
        <v>1</v>
      </c>
      <c r="K71" s="373">
        <f>TblRezone[[#This Row],[Hour]]</f>
        <v>68</v>
      </c>
      <c r="L71" s="374">
        <f ca="1">TblImps[[#This Row],[Real time]]</f>
        <v>44407.541666666504</v>
      </c>
      <c r="M71" s="74">
        <f>IF(ISERROR(TblImps[[#This Row],[algorithm]]),0,TblImps[[#This Row],[algorithm]]*1)</f>
        <v>0</v>
      </c>
      <c r="N71" s="113">
        <f ca="1">TblImps[[#This Row],[Land]]</f>
        <v>600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44407.541666666504</v>
      </c>
      <c r="BZ71" s="387">
        <f ca="1">OFFSET(TblImps[[#This Row],[Servertime]],-1,0)+1/24</f>
        <v>44407.791666666504</v>
      </c>
      <c r="CA71" s="141"/>
      <c r="CB71" s="385"/>
      <c r="CC71" s="385"/>
    </row>
    <row r="72" spans="1:84" x14ac:dyDescent="0.2">
      <c r="A72" s="280">
        <f ca="1">TblConstr[[#This Row],[Land]]</f>
        <v>600</v>
      </c>
      <c r="B72" s="184"/>
      <c r="C72" s="113">
        <f ca="1">TblProd[[#This Row],[Platinum]]</f>
        <v>185665</v>
      </c>
      <c r="D72" s="113">
        <f ca="1">TblProd[[#This Row],[Lumber]]</f>
        <v>31644</v>
      </c>
      <c r="E72" s="113">
        <f ca="1">TblProd[[#This Row],[Ore]]</f>
        <v>11990</v>
      </c>
      <c r="F72" s="113">
        <f ca="1">TblProd[[#This Row],[Gems]]</f>
        <v>0</v>
      </c>
      <c r="G72" s="200"/>
      <c r="H72" s="113">
        <f ca="1">TblMili[[#This Row],[Draftees]]</f>
        <v>401</v>
      </c>
      <c r="I72" s="234">
        <f ca="1">TblPop[[#This Row],[Employment]]</f>
        <v>1</v>
      </c>
      <c r="J72" s="234">
        <f ca="1">TblPop[[#This Row],[Total]]/TblPop[[#This Row],[Net max]]</f>
        <v>1</v>
      </c>
      <c r="K72" s="373">
        <f>TblRezone[[#This Row],[Hour]]</f>
        <v>69</v>
      </c>
      <c r="L72" s="374">
        <f ca="1">TblImps[[#This Row],[Real time]]</f>
        <v>44407.583333333168</v>
      </c>
      <c r="M72" s="74">
        <f>IF(ISERROR(TblImps[[#This Row],[algorithm]]),0,TblImps[[#This Row],[algorithm]]*1)</f>
        <v>0</v>
      </c>
      <c r="N72" s="113">
        <f ca="1">TblImps[[#This Row],[Land]]</f>
        <v>600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44407.583333333168</v>
      </c>
      <c r="BZ72" s="387">
        <f ca="1">OFFSET(TblImps[[#This Row],[Servertime]],-1,0)+1/24</f>
        <v>44407.833333333168</v>
      </c>
      <c r="CA72" s="141"/>
      <c r="CB72" s="385"/>
      <c r="CC72" s="385"/>
    </row>
    <row r="73" spans="1:84" x14ac:dyDescent="0.2">
      <c r="A73" s="280">
        <f ca="1">TblConstr[[#This Row],[Land]]</f>
        <v>600</v>
      </c>
      <c r="B73" s="184"/>
      <c r="C73" s="113">
        <f ca="1">TblProd[[#This Row],[Platinum]]</f>
        <v>221560</v>
      </c>
      <c r="D73" s="113">
        <f ca="1">TblProd[[#This Row],[Lumber]]</f>
        <v>32328</v>
      </c>
      <c r="E73" s="113">
        <f ca="1">TblProd[[#This Row],[Ore]]</f>
        <v>13790</v>
      </c>
      <c r="F73" s="113">
        <f ca="1">TblProd[[#This Row],[Gems]]</f>
        <v>0</v>
      </c>
      <c r="G73" s="200"/>
      <c r="H73" s="113">
        <f ca="1">TblMili[[#This Row],[Draftees]]</f>
        <v>478</v>
      </c>
      <c r="I73" s="234">
        <f ca="1">TblPop[[#This Row],[Employment]]</f>
        <v>1</v>
      </c>
      <c r="J73" s="234">
        <f ca="1">TblPop[[#This Row],[Total]]/TblPop[[#This Row],[Net max]]</f>
        <v>1</v>
      </c>
      <c r="K73" s="373">
        <f>TblRezone[[#This Row],[Hour]]</f>
        <v>70</v>
      </c>
      <c r="L73" s="374">
        <f ca="1">TblImps[[#This Row],[Real time]]</f>
        <v>44407.624999999833</v>
      </c>
      <c r="M73" s="74">
        <f>IF(ISERROR(TblImps[[#This Row],[algorithm]]),0,TblImps[[#This Row],[algorithm]]*1)</f>
        <v>0</v>
      </c>
      <c r="N73" s="113">
        <f ca="1">TblImps[[#This Row],[Land]]</f>
        <v>600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44407.624999999833</v>
      </c>
      <c r="BZ73" s="387">
        <f ca="1">OFFSET(TblImps[[#This Row],[Servertime]],-1,0)+1/24</f>
        <v>44407.874999999833</v>
      </c>
      <c r="CA73" s="141"/>
      <c r="CB73" s="385"/>
      <c r="CC73" s="385"/>
    </row>
    <row r="74" spans="1:84" x14ac:dyDescent="0.2">
      <c r="A74" s="280">
        <f ca="1">TblConstr[[#This Row],[Land]]</f>
        <v>600</v>
      </c>
      <c r="B74" s="184"/>
      <c r="C74" s="113">
        <f ca="1">TblProd[[#This Row],[Platinum]]</f>
        <v>257226</v>
      </c>
      <c r="D74" s="113">
        <f ca="1">TblProd[[#This Row],[Lumber]]</f>
        <v>33005</v>
      </c>
      <c r="E74" s="113">
        <f ca="1">TblProd[[#This Row],[Ore]]</f>
        <v>15590</v>
      </c>
      <c r="F74" s="113">
        <f ca="1">TblProd[[#This Row],[Gems]]</f>
        <v>0</v>
      </c>
      <c r="G74" s="200"/>
      <c r="H74" s="113">
        <f ca="1">TblMili[[#This Row],[Draftees]]</f>
        <v>554</v>
      </c>
      <c r="I74" s="234">
        <f ca="1">TblPop[[#This Row],[Employment]]</f>
        <v>1</v>
      </c>
      <c r="J74" s="234">
        <f ca="1">TblPop[[#This Row],[Total]]/TblPop[[#This Row],[Net max]]</f>
        <v>1</v>
      </c>
      <c r="K74" s="373">
        <f>TblRezone[[#This Row],[Hour]]</f>
        <v>71</v>
      </c>
      <c r="L74" s="374">
        <f ca="1">TblImps[[#This Row],[Real time]]</f>
        <v>44407.666666666497</v>
      </c>
      <c r="M74" s="74">
        <f>IF(ISERROR(TblImps[[#This Row],[algorithm]]),0,TblImps[[#This Row],[algorithm]]*1)</f>
        <v>0</v>
      </c>
      <c r="N74" s="113">
        <f ca="1">TblImps[[#This Row],[Land]]</f>
        <v>600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44407.666666666497</v>
      </c>
      <c r="BZ74" s="387">
        <f ca="1">OFFSET(TblImps[[#This Row],[Servertime]],-1,0)+1/24</f>
        <v>44407.916666666497</v>
      </c>
      <c r="CA74" s="141"/>
      <c r="CB74" s="385"/>
      <c r="CC74" s="385"/>
    </row>
    <row r="75" spans="1:84" x14ac:dyDescent="0.2">
      <c r="A75" s="280">
        <f ca="1">TblConstr[[#This Row],[Land]]</f>
        <v>600</v>
      </c>
      <c r="B75" s="184"/>
      <c r="C75" s="113">
        <f ca="1">TblProd[[#This Row],[Platinum]]</f>
        <v>292667</v>
      </c>
      <c r="D75" s="113">
        <f ca="1">TblProd[[#This Row],[Lumber]]</f>
        <v>33675</v>
      </c>
      <c r="E75" s="113">
        <f ca="1">TblProd[[#This Row],[Ore]]</f>
        <v>17390</v>
      </c>
      <c r="F75" s="113">
        <f ca="1">TblProd[[#This Row],[Gems]]</f>
        <v>0</v>
      </c>
      <c r="G75" s="200"/>
      <c r="H75" s="113">
        <f ca="1">TblMili[[#This Row],[Draftees]]</f>
        <v>629</v>
      </c>
      <c r="I75" s="234">
        <f ca="1">TblPop[[#This Row],[Employment]]</f>
        <v>1</v>
      </c>
      <c r="J75" s="234">
        <f ca="1">TblPop[[#This Row],[Total]]/TblPop[[#This Row],[Net max]]</f>
        <v>1</v>
      </c>
      <c r="K75" s="373">
        <f>TblRezone[[#This Row],[Hour]]</f>
        <v>72</v>
      </c>
      <c r="L75" s="374">
        <f ca="1">TblImps[[#This Row],[Real time]]</f>
        <v>44407.708333333161</v>
      </c>
      <c r="M75" s="74">
        <f>IF(ISERROR(TblImps[[#This Row],[algorithm]]),0,TblImps[[#This Row],[algorithm]]*1)</f>
        <v>0</v>
      </c>
      <c r="N75" s="113">
        <f ca="1">TblImps[[#This Row],[Land]]</f>
        <v>600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44407.708333333161</v>
      </c>
      <c r="BZ75" s="387">
        <f ca="1">OFFSET(TblImps[[#This Row],[Servertime]],-1,0)+1/24</f>
        <v>44407.958333333161</v>
      </c>
      <c r="CA75" s="141"/>
      <c r="CB75" s="385"/>
      <c r="CC75" s="385"/>
    </row>
    <row r="76" spans="1:84" s="97" customFormat="1" x14ac:dyDescent="0.2">
      <c r="A76" s="297">
        <f ca="1">TblConstr[[#This Row],[Land]]</f>
        <v>600</v>
      </c>
      <c r="B76" s="192"/>
      <c r="C76" s="262">
        <f ca="1">TblProd[[#This Row],[Platinum]]</f>
        <v>327885</v>
      </c>
      <c r="D76" s="262">
        <f ca="1">TblProd[[#This Row],[Lumber]]</f>
        <v>34338</v>
      </c>
      <c r="E76" s="262">
        <f ca="1">TblProd[[#This Row],[Ore]]</f>
        <v>19190</v>
      </c>
      <c r="F76" s="262">
        <f ca="1">TblProd[[#This Row],[Gems]]</f>
        <v>0</v>
      </c>
      <c r="G76" s="212"/>
      <c r="H76" s="262">
        <f ca="1">TblMili[[#This Row],[Draftees]]</f>
        <v>704</v>
      </c>
      <c r="I76" s="261">
        <f ca="1">TblPop[[#This Row],[Employment]]</f>
        <v>1</v>
      </c>
      <c r="J76" s="261">
        <f ca="1">TblPop[[#This Row],[Total]]/TblPop[[#This Row],[Net max]]</f>
        <v>1</v>
      </c>
      <c r="K76" s="391">
        <f>TblRezone[[#This Row],[Hour]]</f>
        <v>73</v>
      </c>
      <c r="L76" s="392">
        <f ca="1">TblImps[[#This Row],[Real time]]</f>
        <v>44407.749999999825</v>
      </c>
      <c r="M76" s="252">
        <f>IF(ISERROR(TblImps[[#This Row],[algorithm]]),0,TblImps[[#This Row],[algorithm]]*1)</f>
        <v>1</v>
      </c>
      <c r="N76" s="262">
        <f ca="1">TblImps[[#This Row],[Land]]</f>
        <v>600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76" s="252">
        <f>TblImps[[#This Row],[Login]]</f>
        <v>1</v>
      </c>
      <c r="BX76" s="186"/>
      <c r="BY76" s="398">
        <f ca="1">OFFSET(TblImps[[#This Row],[Real time]],-1,0)+1/24</f>
        <v>44407.749999999825</v>
      </c>
      <c r="BZ76" s="399">
        <f ca="1">OFFSET(TblImps[[#This Row],[Servertime]],-1,0)+1/24</f>
        <v>44407.999999999825</v>
      </c>
    </row>
    <row r="77" spans="1:84" x14ac:dyDescent="0.2">
      <c r="A77" s="280">
        <f ca="1">TblConstr[[#This Row],[Land]]</f>
        <v>600</v>
      </c>
      <c r="B77" s="184"/>
      <c r="C77" s="113">
        <f ca="1">TblProd[[#This Row],[Platinum]]</f>
        <v>362880</v>
      </c>
      <c r="D77" s="113">
        <f ca="1">TblProd[[#This Row],[Lumber]]</f>
        <v>34995</v>
      </c>
      <c r="E77" s="113">
        <f ca="1">TblProd[[#This Row],[Ore]]</f>
        <v>20990</v>
      </c>
      <c r="F77" s="113">
        <f ca="1">TblProd[[#This Row],[Gems]]</f>
        <v>0</v>
      </c>
      <c r="G77" s="200"/>
      <c r="H77" s="113">
        <f ca="1">TblMili[[#This Row],[Draftees]]</f>
        <v>778</v>
      </c>
      <c r="I77" s="234">
        <f ca="1">TblPop[[#This Row],[Employment]]</f>
        <v>1</v>
      </c>
      <c r="J77" s="234">
        <f ca="1">TblPop[[#This Row],[Total]]/TblPop[[#This Row],[Net max]]</f>
        <v>1</v>
      </c>
      <c r="K77" s="373">
        <f>TblRezone[[#This Row],[Hour]]</f>
        <v>74</v>
      </c>
      <c r="L77" s="374">
        <f ca="1">TblImps[[#This Row],[Real time]]</f>
        <v>44407.79166666649</v>
      </c>
      <c r="M77" s="74">
        <f>IF(ISERROR(TblImps[[#This Row],[algorithm]]),0,TblImps[[#This Row],[algorithm]]*1)</f>
        <v>0</v>
      </c>
      <c r="N77" s="113">
        <f ca="1">TblImps[[#This Row],[Land]]</f>
        <v>600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44407.79166666649</v>
      </c>
      <c r="BZ77" s="387">
        <f ca="1">OFFSET(TblImps[[#This Row],[Servertime]],-1,0)+1/24</f>
        <v>44408.04166666649</v>
      </c>
      <c r="CA77" s="141"/>
      <c r="CB77" s="385"/>
      <c r="CC77" s="385"/>
    </row>
    <row r="78" spans="1:84" x14ac:dyDescent="0.2">
      <c r="A78" s="280">
        <f ca="1">TblConstr[[#This Row],[Land]]</f>
        <v>600</v>
      </c>
      <c r="B78" s="184"/>
      <c r="C78" s="113">
        <f ca="1">TblProd[[#This Row],[Platinum]]</f>
        <v>397655</v>
      </c>
      <c r="D78" s="113">
        <f ca="1">TblProd[[#This Row],[Lumber]]</f>
        <v>35645</v>
      </c>
      <c r="E78" s="113">
        <f ca="1">TblProd[[#This Row],[Ore]]</f>
        <v>22790</v>
      </c>
      <c r="F78" s="113">
        <f ca="1">TblProd[[#This Row],[Gems]]</f>
        <v>0</v>
      </c>
      <c r="G78" s="200"/>
      <c r="H78" s="113">
        <f ca="1">TblMili[[#This Row],[Draftees]]</f>
        <v>851</v>
      </c>
      <c r="I78" s="234">
        <f ca="1">TblPop[[#This Row],[Employment]]</f>
        <v>1</v>
      </c>
      <c r="J78" s="234">
        <f ca="1">TblPop[[#This Row],[Total]]/TblPop[[#This Row],[Net max]]</f>
        <v>1</v>
      </c>
      <c r="K78" s="373">
        <f>TblRezone[[#This Row],[Hour]]</f>
        <v>75</v>
      </c>
      <c r="L78" s="374">
        <f ca="1">TblImps[[#This Row],[Real time]]</f>
        <v>44407.833333333154</v>
      </c>
      <c r="M78" s="74">
        <f>IF(ISERROR(TblImps[[#This Row],[algorithm]]),0,TblImps[[#This Row],[algorithm]]*1)</f>
        <v>0</v>
      </c>
      <c r="N78" s="113">
        <f ca="1">TblImps[[#This Row],[Land]]</f>
        <v>600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44407.833333333154</v>
      </c>
      <c r="BZ78" s="387">
        <f ca="1">OFFSET(TblImps[[#This Row],[Servertime]],-1,0)+1/24</f>
        <v>44408.083333333154</v>
      </c>
      <c r="CA78" s="141"/>
      <c r="CB78" s="385"/>
      <c r="CC78" s="385"/>
      <c r="CF78" s="388"/>
    </row>
    <row r="79" spans="1:84" x14ac:dyDescent="0.2">
      <c r="A79" s="280">
        <f ca="1">TblConstr[[#This Row],[Land]]</f>
        <v>600</v>
      </c>
      <c r="B79" s="184"/>
      <c r="C79" s="113">
        <f ca="1">TblProd[[#This Row],[Platinum]]</f>
        <v>432213</v>
      </c>
      <c r="D79" s="113">
        <f ca="1">TblProd[[#This Row],[Lumber]]</f>
        <v>36289</v>
      </c>
      <c r="E79" s="113">
        <f ca="1">TblProd[[#This Row],[Ore]]</f>
        <v>24590</v>
      </c>
      <c r="F79" s="113">
        <f ca="1">TblProd[[#This Row],[Gems]]</f>
        <v>0</v>
      </c>
      <c r="G79" s="200"/>
      <c r="H79" s="113">
        <f ca="1">TblMili[[#This Row],[Draftees]]</f>
        <v>923</v>
      </c>
      <c r="I79" s="234">
        <f ca="1">TblPop[[#This Row],[Employment]]</f>
        <v>1</v>
      </c>
      <c r="J79" s="234">
        <f ca="1">TblPop[[#This Row],[Total]]/TblPop[[#This Row],[Net max]]</f>
        <v>1</v>
      </c>
      <c r="K79" s="373">
        <f>TblRezone[[#This Row],[Hour]]</f>
        <v>76</v>
      </c>
      <c r="L79" s="374">
        <f ca="1">TblImps[[#This Row],[Real time]]</f>
        <v>44407.874999999818</v>
      </c>
      <c r="M79" s="74">
        <f>IF(ISERROR(TblImps[[#This Row],[algorithm]]),0,TblImps[[#This Row],[algorithm]]*1)</f>
        <v>0</v>
      </c>
      <c r="N79" s="113">
        <f ca="1">TblImps[[#This Row],[Land]]</f>
        <v>600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44407.874999999818</v>
      </c>
      <c r="BZ79" s="387">
        <f ca="1">OFFSET(TblImps[[#This Row],[Servertime]],-1,0)+1/24</f>
        <v>44408.124999999818</v>
      </c>
      <c r="CA79" s="141"/>
      <c r="CB79" s="385"/>
      <c r="CC79" s="385"/>
      <c r="CF79" s="389"/>
    </row>
    <row r="80" spans="1:84" x14ac:dyDescent="0.2">
      <c r="A80" s="280">
        <f ca="1">TblConstr[[#This Row],[Land]]</f>
        <v>600</v>
      </c>
      <c r="B80" s="184"/>
      <c r="C80" s="113">
        <f ca="1">TblProd[[#This Row],[Platinum]]</f>
        <v>463435</v>
      </c>
      <c r="D80" s="113">
        <f ca="1">TblProd[[#This Row],[Lumber]]</f>
        <v>36926</v>
      </c>
      <c r="E80" s="113">
        <f ca="1">TblProd[[#This Row],[Ore]]</f>
        <v>26390</v>
      </c>
      <c r="F80" s="113">
        <f ca="1">TblProd[[#This Row],[Gems]]</f>
        <v>0</v>
      </c>
      <c r="G80" s="200"/>
      <c r="H80" s="113">
        <f ca="1">TblMili[[#This Row],[Draftees]]</f>
        <v>995</v>
      </c>
      <c r="I80" s="234">
        <f ca="1">TblPop[[#This Row],[Employment]]</f>
        <v>1</v>
      </c>
      <c r="J80" s="234">
        <f ca="1">TblPop[[#This Row],[Total]]/TblPop[[#This Row],[Net max]]</f>
        <v>1</v>
      </c>
      <c r="K80" s="373">
        <f>TblRezone[[#This Row],[Hour]]</f>
        <v>77</v>
      </c>
      <c r="L80" s="374">
        <f ca="1">TblImps[[#This Row],[Real time]]</f>
        <v>44407.916666666482</v>
      </c>
      <c r="M80" s="74">
        <f>IF(ISERROR(TblImps[[#This Row],[algorithm]]),0,TblImps[[#This Row],[algorithm]]*1)</f>
        <v>0</v>
      </c>
      <c r="N80" s="113">
        <f ca="1">TblImps[[#This Row],[Land]]</f>
        <v>600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44407.916666666482</v>
      </c>
      <c r="BZ80" s="387">
        <f ca="1">OFFSET(TblImps[[#This Row],[Servertime]],-1,0)+1/24</f>
        <v>44408.166666666482</v>
      </c>
      <c r="CA80" s="141"/>
      <c r="CB80" s="385"/>
      <c r="CC80" s="385"/>
      <c r="CF80" s="388"/>
    </row>
    <row r="81" spans="1:84" x14ac:dyDescent="0.2">
      <c r="A81" s="280">
        <f ca="1">TblConstr[[#This Row],[Land]]</f>
        <v>600</v>
      </c>
      <c r="B81" s="184"/>
      <c r="C81" s="113">
        <f ca="1">TblProd[[#This Row],[Platinum]]</f>
        <v>494463</v>
      </c>
      <c r="D81" s="113">
        <f ca="1">TblProd[[#This Row],[Lumber]]</f>
        <v>37557</v>
      </c>
      <c r="E81" s="113">
        <f ca="1">TblProd[[#This Row],[Ore]]</f>
        <v>28190</v>
      </c>
      <c r="F81" s="113">
        <f ca="1">TblProd[[#This Row],[Gems]]</f>
        <v>0</v>
      </c>
      <c r="G81" s="200"/>
      <c r="H81" s="113">
        <f ca="1">TblMili[[#This Row],[Draftees]]</f>
        <v>1066</v>
      </c>
      <c r="I81" s="234">
        <f ca="1">TblPop[[#This Row],[Employment]]</f>
        <v>1</v>
      </c>
      <c r="J81" s="234">
        <f ca="1">TblPop[[#This Row],[Total]]/TblPop[[#This Row],[Net max]]</f>
        <v>1</v>
      </c>
      <c r="K81" s="373">
        <f>TblRezone[[#This Row],[Hour]]</f>
        <v>78</v>
      </c>
      <c r="L81" s="374">
        <f ca="1">TblImps[[#This Row],[Real time]]</f>
        <v>44407.958333333147</v>
      </c>
      <c r="M81" s="74">
        <f>IF(ISERROR(TblImps[[#This Row],[algorithm]]),0,TblImps[[#This Row],[algorithm]]*1)</f>
        <v>0</v>
      </c>
      <c r="N81" s="113">
        <f ca="1">TblImps[[#This Row],[Land]]</f>
        <v>600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44407.958333333147</v>
      </c>
      <c r="BZ81" s="387">
        <f ca="1">OFFSET(TblImps[[#This Row],[Servertime]],-1,0)+1/24</f>
        <v>44408.208333333147</v>
      </c>
      <c r="CA81" s="141"/>
      <c r="CB81" s="385"/>
      <c r="CC81" s="385"/>
      <c r="CF81" s="388"/>
    </row>
    <row r="82" spans="1:84" x14ac:dyDescent="0.2">
      <c r="A82" s="280">
        <f ca="1">TblConstr[[#This Row],[Land]]</f>
        <v>600</v>
      </c>
      <c r="B82" s="184"/>
      <c r="C82" s="113">
        <f ca="1">TblProd[[#This Row],[Platinum]]</f>
        <v>525299</v>
      </c>
      <c r="D82" s="113">
        <f ca="1">TblProd[[#This Row],[Lumber]]</f>
        <v>38181</v>
      </c>
      <c r="E82" s="113">
        <f ca="1">TblProd[[#This Row],[Ore]]</f>
        <v>29990</v>
      </c>
      <c r="F82" s="113">
        <f ca="1">TblProd[[#This Row],[Gems]]</f>
        <v>0</v>
      </c>
      <c r="G82" s="200"/>
      <c r="H82" s="113">
        <f ca="1">TblMili[[#This Row],[Draftees]]</f>
        <v>1136</v>
      </c>
      <c r="I82" s="234">
        <f ca="1">TblPop[[#This Row],[Employment]]</f>
        <v>1</v>
      </c>
      <c r="J82" s="234">
        <f ca="1">TblPop[[#This Row],[Total]]/TblPop[[#This Row],[Net max]]</f>
        <v>1</v>
      </c>
      <c r="K82" s="373">
        <f>TblRezone[[#This Row],[Hour]]</f>
        <v>79</v>
      </c>
      <c r="L82" s="374">
        <f ca="1">TblImps[[#This Row],[Real time]]</f>
        <v>44407.999999999811</v>
      </c>
      <c r="M82" s="74">
        <f>IF(ISERROR(TblImps[[#This Row],[algorithm]]),0,TblImps[[#This Row],[algorithm]]*1)</f>
        <v>0</v>
      </c>
      <c r="N82" s="113">
        <f ca="1">TblImps[[#This Row],[Land]]</f>
        <v>600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44407.999999999811</v>
      </c>
      <c r="BZ82" s="387">
        <f ca="1">OFFSET(TblImps[[#This Row],[Servertime]],-1,0)+1/24</f>
        <v>44408.249999999811</v>
      </c>
      <c r="CA82" s="141"/>
      <c r="CB82" s="385"/>
      <c r="CC82" s="385"/>
    </row>
    <row r="83" spans="1:84" x14ac:dyDescent="0.2">
      <c r="A83" s="280">
        <f ca="1">TblConstr[[#This Row],[Land]]</f>
        <v>600</v>
      </c>
      <c r="B83" s="184"/>
      <c r="C83" s="113">
        <f ca="1">TblProd[[#This Row],[Platinum]]</f>
        <v>555946</v>
      </c>
      <c r="D83" s="113">
        <f ca="1">TblProd[[#This Row],[Lumber]]</f>
        <v>38799</v>
      </c>
      <c r="E83" s="113">
        <f ca="1">TblProd[[#This Row],[Ore]]</f>
        <v>31790</v>
      </c>
      <c r="F83" s="113">
        <f ca="1">TblProd[[#This Row],[Gems]]</f>
        <v>0</v>
      </c>
      <c r="G83" s="200"/>
      <c r="H83" s="113">
        <f ca="1">TblMili[[#This Row],[Draftees]]</f>
        <v>1206</v>
      </c>
      <c r="I83" s="234">
        <f ca="1">TblPop[[#This Row],[Employment]]</f>
        <v>1</v>
      </c>
      <c r="J83" s="234">
        <f ca="1">TblPop[[#This Row],[Total]]/TblPop[[#This Row],[Net max]]</f>
        <v>1</v>
      </c>
      <c r="K83" s="373">
        <f>TblRezone[[#This Row],[Hour]]</f>
        <v>80</v>
      </c>
      <c r="L83" s="374">
        <f ca="1">TblImps[[#This Row],[Real time]]</f>
        <v>44408.041666666475</v>
      </c>
      <c r="M83" s="74">
        <f>IF(ISERROR(TblImps[[#This Row],[algorithm]]),0,TblImps[[#This Row],[algorithm]]*1)</f>
        <v>0</v>
      </c>
      <c r="N83" s="113">
        <f ca="1">TblImps[[#This Row],[Land]]</f>
        <v>600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44408.041666666475</v>
      </c>
      <c r="BZ83" s="387">
        <f ca="1">OFFSET(TblImps[[#This Row],[Servertime]],-1,0)+1/24</f>
        <v>44408.291666666475</v>
      </c>
      <c r="CA83" s="141"/>
      <c r="CB83" s="385"/>
      <c r="CC83" s="385"/>
    </row>
    <row r="84" spans="1:84" x14ac:dyDescent="0.2">
      <c r="A84" s="280">
        <f ca="1">TblConstr[[#This Row],[Land]]</f>
        <v>600</v>
      </c>
      <c r="B84" s="184"/>
      <c r="C84" s="113">
        <f ca="1">TblProd[[#This Row],[Platinum]]</f>
        <v>586404</v>
      </c>
      <c r="D84" s="113">
        <f ca="1">TblProd[[#This Row],[Lumber]]</f>
        <v>39411</v>
      </c>
      <c r="E84" s="113">
        <f ca="1">TblProd[[#This Row],[Ore]]</f>
        <v>33590</v>
      </c>
      <c r="F84" s="113">
        <f ca="1">TblProd[[#This Row],[Gems]]</f>
        <v>0</v>
      </c>
      <c r="G84" s="200"/>
      <c r="H84" s="113">
        <f ca="1">TblMili[[#This Row],[Draftees]]</f>
        <v>1275</v>
      </c>
      <c r="I84" s="234">
        <f ca="1">TblPop[[#This Row],[Employment]]</f>
        <v>1</v>
      </c>
      <c r="J84" s="234">
        <f ca="1">TblPop[[#This Row],[Total]]/TblPop[[#This Row],[Net max]]</f>
        <v>1</v>
      </c>
      <c r="K84" s="373">
        <f>TblRezone[[#This Row],[Hour]]</f>
        <v>81</v>
      </c>
      <c r="L84" s="374">
        <f ca="1">TblImps[[#This Row],[Real time]]</f>
        <v>44408.083333333139</v>
      </c>
      <c r="M84" s="74">
        <f>IF(ISERROR(TblImps[[#This Row],[algorithm]]),0,TblImps[[#This Row],[algorithm]]*1)</f>
        <v>0</v>
      </c>
      <c r="N84" s="113">
        <f ca="1">TblImps[[#This Row],[Land]]</f>
        <v>600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44408.083333333139</v>
      </c>
      <c r="BZ84" s="387">
        <f ca="1">OFFSET(TblImps[[#This Row],[Servertime]],-1,0)+1/24</f>
        <v>44408.333333333139</v>
      </c>
      <c r="CA84" s="141"/>
      <c r="CB84" s="385"/>
      <c r="CC84" s="385"/>
    </row>
    <row r="85" spans="1:84" x14ac:dyDescent="0.2">
      <c r="A85" s="280">
        <f ca="1">TblConstr[[#This Row],[Land]]</f>
        <v>600</v>
      </c>
      <c r="B85" s="184"/>
      <c r="C85" s="113">
        <f ca="1">TblProd[[#This Row],[Platinum]]</f>
        <v>616676</v>
      </c>
      <c r="D85" s="113">
        <f ca="1">TblProd[[#This Row],[Lumber]]</f>
        <v>40017</v>
      </c>
      <c r="E85" s="113">
        <f ca="1">TblProd[[#This Row],[Ore]]</f>
        <v>35390</v>
      </c>
      <c r="F85" s="113">
        <f ca="1">TblProd[[#This Row],[Gems]]</f>
        <v>0</v>
      </c>
      <c r="G85" s="200"/>
      <c r="H85" s="113">
        <f ca="1">TblMili[[#This Row],[Draftees]]</f>
        <v>1343</v>
      </c>
      <c r="I85" s="234">
        <f ca="1">TblPop[[#This Row],[Employment]]</f>
        <v>1</v>
      </c>
      <c r="J85" s="234">
        <f ca="1">TblPop[[#This Row],[Total]]/TblPop[[#This Row],[Net max]]</f>
        <v>1</v>
      </c>
      <c r="K85" s="373">
        <f>TblRezone[[#This Row],[Hour]]</f>
        <v>82</v>
      </c>
      <c r="L85" s="374">
        <f ca="1">TblImps[[#This Row],[Real time]]</f>
        <v>44408.124999999804</v>
      </c>
      <c r="M85" s="74">
        <f>IF(ISERROR(TblImps[[#This Row],[algorithm]]),0,TblImps[[#This Row],[algorithm]]*1)</f>
        <v>0</v>
      </c>
      <c r="N85" s="113">
        <f ca="1">TblImps[[#This Row],[Land]]</f>
        <v>600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44408.124999999804</v>
      </c>
      <c r="BZ85" s="387">
        <f ca="1">OFFSET(TblImps[[#This Row],[Servertime]],-1,0)+1/24</f>
        <v>44408.374999999804</v>
      </c>
      <c r="CA85" s="141"/>
      <c r="CB85" s="385"/>
      <c r="CC85" s="385"/>
    </row>
    <row r="86" spans="1:84" x14ac:dyDescent="0.2">
      <c r="A86" s="280">
        <f ca="1">TblConstr[[#This Row],[Land]]</f>
        <v>600</v>
      </c>
      <c r="B86" s="184"/>
      <c r="C86" s="113">
        <f ca="1">TblProd[[#This Row],[Platinum]]</f>
        <v>646764</v>
      </c>
      <c r="D86" s="113">
        <f ca="1">TblProd[[#This Row],[Lumber]]</f>
        <v>40617</v>
      </c>
      <c r="E86" s="113">
        <f ca="1">TblProd[[#This Row],[Ore]]</f>
        <v>37190</v>
      </c>
      <c r="F86" s="113">
        <f ca="1">TblProd[[#This Row],[Gems]]</f>
        <v>0</v>
      </c>
      <c r="G86" s="200"/>
      <c r="H86" s="113">
        <f ca="1">TblMili[[#This Row],[Draftees]]</f>
        <v>1410</v>
      </c>
      <c r="I86" s="234">
        <f ca="1">TblPop[[#This Row],[Employment]]</f>
        <v>1</v>
      </c>
      <c r="J86" s="234">
        <f ca="1">TblPop[[#This Row],[Total]]/TblPop[[#This Row],[Net max]]</f>
        <v>1</v>
      </c>
      <c r="K86" s="373">
        <f>TblRezone[[#This Row],[Hour]]</f>
        <v>83</v>
      </c>
      <c r="L86" s="374">
        <f ca="1">TblImps[[#This Row],[Real time]]</f>
        <v>44408.166666666468</v>
      </c>
      <c r="M86" s="74">
        <f>IF(ISERROR(TblImps[[#This Row],[algorithm]]),0,TblImps[[#This Row],[algorithm]]*1)</f>
        <v>0</v>
      </c>
      <c r="N86" s="113">
        <f ca="1">TblImps[[#This Row],[Land]]</f>
        <v>600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44408.166666666468</v>
      </c>
      <c r="BZ86" s="387">
        <f ca="1">OFFSET(TblImps[[#This Row],[Servertime]],-1,0)+1/24</f>
        <v>44408.416666666468</v>
      </c>
      <c r="CA86" s="141"/>
      <c r="CB86" s="385"/>
      <c r="CC86" s="385"/>
    </row>
    <row r="87" spans="1:84" x14ac:dyDescent="0.2">
      <c r="A87" s="280">
        <f ca="1">TblConstr[[#This Row],[Land]]</f>
        <v>600</v>
      </c>
      <c r="B87" s="184"/>
      <c r="C87" s="113">
        <f ca="1">TblProd[[#This Row],[Platinum]]</f>
        <v>676671</v>
      </c>
      <c r="D87" s="113">
        <f ca="1">TblProd[[#This Row],[Lumber]]</f>
        <v>41211</v>
      </c>
      <c r="E87" s="113">
        <f ca="1">TblProd[[#This Row],[Ore]]</f>
        <v>38990</v>
      </c>
      <c r="F87" s="113">
        <f ca="1">TblProd[[#This Row],[Gems]]</f>
        <v>0</v>
      </c>
      <c r="G87" s="200"/>
      <c r="H87" s="113">
        <f ca="1">TblMili[[#This Row],[Draftees]]</f>
        <v>1477</v>
      </c>
      <c r="I87" s="234">
        <f ca="1">TblPop[[#This Row],[Employment]]</f>
        <v>1</v>
      </c>
      <c r="J87" s="234">
        <f ca="1">TblPop[[#This Row],[Total]]/TblPop[[#This Row],[Net max]]</f>
        <v>1</v>
      </c>
      <c r="K87" s="373">
        <f>TblRezone[[#This Row],[Hour]]</f>
        <v>84</v>
      </c>
      <c r="L87" s="374">
        <f ca="1">TblImps[[#This Row],[Real time]]</f>
        <v>44408.208333333132</v>
      </c>
      <c r="M87" s="74">
        <f>IF(ISERROR(TblImps[[#This Row],[algorithm]]),0,TblImps[[#This Row],[algorithm]]*1)</f>
        <v>0</v>
      </c>
      <c r="N87" s="113">
        <f ca="1">TblImps[[#This Row],[Land]]</f>
        <v>600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44408.208333333132</v>
      </c>
      <c r="BZ87" s="387">
        <f ca="1">OFFSET(TblImps[[#This Row],[Servertime]],-1,0)+1/24</f>
        <v>44408.458333333132</v>
      </c>
      <c r="CA87" s="141"/>
      <c r="CB87" s="385"/>
      <c r="CC87" s="385"/>
    </row>
    <row r="88" spans="1:84" x14ac:dyDescent="0.2">
      <c r="A88" s="280">
        <f ca="1">TblConstr[[#This Row],[Land]]</f>
        <v>600</v>
      </c>
      <c r="B88" s="184"/>
      <c r="C88" s="113">
        <f ca="1">TblProd[[#This Row],[Platinum]]</f>
        <v>706398</v>
      </c>
      <c r="D88" s="113">
        <f ca="1">TblProd[[#This Row],[Lumber]]</f>
        <v>41799</v>
      </c>
      <c r="E88" s="113">
        <f ca="1">TblProd[[#This Row],[Ore]]</f>
        <v>40790</v>
      </c>
      <c r="F88" s="113">
        <f ca="1">TblProd[[#This Row],[Gems]]</f>
        <v>0</v>
      </c>
      <c r="G88" s="200"/>
      <c r="H88" s="113">
        <f ca="1">TblMili[[#This Row],[Draftees]]</f>
        <v>1543</v>
      </c>
      <c r="I88" s="234">
        <f ca="1">TblPop[[#This Row],[Employment]]</f>
        <v>1</v>
      </c>
      <c r="J88" s="234">
        <f ca="1">TblPop[[#This Row],[Total]]/TblPop[[#This Row],[Net max]]</f>
        <v>1</v>
      </c>
      <c r="K88" s="373">
        <f>TblRezone[[#This Row],[Hour]]</f>
        <v>85</v>
      </c>
      <c r="L88" s="374">
        <f ca="1">TblImps[[#This Row],[Real time]]</f>
        <v>44408.249999999796</v>
      </c>
      <c r="M88" s="74">
        <f>IF(ISERROR(TblImps[[#This Row],[algorithm]]),0,TblImps[[#This Row],[algorithm]]*1)</f>
        <v>0</v>
      </c>
      <c r="N88" s="113">
        <f ca="1">TblImps[[#This Row],[Land]]</f>
        <v>600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44408.249999999796</v>
      </c>
      <c r="BZ88" s="387">
        <f ca="1">OFFSET(TblImps[[#This Row],[Servertime]],-1,0)+1/24</f>
        <v>44408.499999999796</v>
      </c>
      <c r="CA88" s="141"/>
      <c r="CB88" s="385"/>
      <c r="CC88" s="385"/>
    </row>
    <row r="89" spans="1:84" x14ac:dyDescent="0.2">
      <c r="A89" s="280">
        <f ca="1">TblConstr[[#This Row],[Land]]</f>
        <v>600</v>
      </c>
      <c r="B89" s="184"/>
      <c r="C89" s="113">
        <f ca="1">TblProd[[#This Row],[Platinum]]</f>
        <v>735946</v>
      </c>
      <c r="D89" s="113">
        <f ca="1">TblProd[[#This Row],[Lumber]]</f>
        <v>42381</v>
      </c>
      <c r="E89" s="113">
        <f ca="1">TblProd[[#This Row],[Ore]]</f>
        <v>42590</v>
      </c>
      <c r="F89" s="113">
        <f ca="1">TblProd[[#This Row],[Gems]]</f>
        <v>0</v>
      </c>
      <c r="G89" s="200"/>
      <c r="H89" s="113">
        <f ca="1">TblMili[[#This Row],[Draftees]]</f>
        <v>1608</v>
      </c>
      <c r="I89" s="234">
        <f ca="1">TblPop[[#This Row],[Employment]]</f>
        <v>1</v>
      </c>
      <c r="J89" s="234">
        <f ca="1">TblPop[[#This Row],[Total]]/TblPop[[#This Row],[Net max]]</f>
        <v>1</v>
      </c>
      <c r="K89" s="373">
        <f>TblRezone[[#This Row],[Hour]]</f>
        <v>86</v>
      </c>
      <c r="L89" s="374">
        <f ca="1">TblImps[[#This Row],[Real time]]</f>
        <v>44408.291666666461</v>
      </c>
      <c r="M89" s="74">
        <f>IF(ISERROR(TblImps[[#This Row],[algorithm]]),0,TblImps[[#This Row],[algorithm]]*1)</f>
        <v>0</v>
      </c>
      <c r="N89" s="113">
        <f ca="1">TblImps[[#This Row],[Land]]</f>
        <v>600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44408.291666666461</v>
      </c>
      <c r="BZ89" s="387">
        <f ca="1">OFFSET(TblImps[[#This Row],[Servertime]],-1,0)+1/24</f>
        <v>44408.541666666461</v>
      </c>
      <c r="CA89" s="141"/>
      <c r="CB89" s="385"/>
      <c r="CC89" s="385"/>
      <c r="CD89" s="205"/>
    </row>
    <row r="90" spans="1:84" x14ac:dyDescent="0.2">
      <c r="A90" s="280">
        <f ca="1">TblConstr[[#This Row],[Land]]</f>
        <v>600</v>
      </c>
      <c r="B90" s="184"/>
      <c r="C90" s="113">
        <f ca="1">TblProd[[#This Row],[Platinum]]</f>
        <v>765319</v>
      </c>
      <c r="D90" s="113">
        <f ca="1">TblProd[[#This Row],[Lumber]]</f>
        <v>42957</v>
      </c>
      <c r="E90" s="113">
        <f ca="1">TblProd[[#This Row],[Ore]]</f>
        <v>44390</v>
      </c>
      <c r="F90" s="113">
        <f ca="1">TblProd[[#This Row],[Gems]]</f>
        <v>0</v>
      </c>
      <c r="G90" s="200"/>
      <c r="H90" s="113">
        <f ca="1">TblMili[[#This Row],[Draftees]]</f>
        <v>1673</v>
      </c>
      <c r="I90" s="234">
        <f ca="1">TblPop[[#This Row],[Employment]]</f>
        <v>1</v>
      </c>
      <c r="J90" s="234">
        <f ca="1">TblPop[[#This Row],[Total]]/TblPop[[#This Row],[Net max]]</f>
        <v>1</v>
      </c>
      <c r="K90" s="373">
        <f>TblRezone[[#This Row],[Hour]]</f>
        <v>87</v>
      </c>
      <c r="L90" s="374">
        <f ca="1">TblImps[[#This Row],[Real time]]</f>
        <v>44408.333333333125</v>
      </c>
      <c r="M90" s="74">
        <f>IF(ISERROR(TblImps[[#This Row],[algorithm]]),0,TblImps[[#This Row],[algorithm]]*1)</f>
        <v>0</v>
      </c>
      <c r="N90" s="113">
        <f ca="1">TblImps[[#This Row],[Land]]</f>
        <v>600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44408.333333333125</v>
      </c>
      <c r="BZ90" s="387">
        <f ca="1">OFFSET(TblImps[[#This Row],[Servertime]],-1,0)+1/24</f>
        <v>44408.583333333125</v>
      </c>
      <c r="CA90" s="390"/>
      <c r="CB90" s="385"/>
      <c r="CC90" s="385"/>
      <c r="CF90" s="388"/>
    </row>
    <row r="91" spans="1:84" x14ac:dyDescent="0.2">
      <c r="A91" s="280">
        <f ca="1">TblConstr[[#This Row],[Land]]</f>
        <v>600</v>
      </c>
      <c r="B91" s="184"/>
      <c r="C91" s="113">
        <f ca="1">TblProd[[#This Row],[Platinum]]</f>
        <v>794516</v>
      </c>
      <c r="D91" s="113">
        <f ca="1">TblProd[[#This Row],[Lumber]]</f>
        <v>43527</v>
      </c>
      <c r="E91" s="113">
        <f ca="1">TblProd[[#This Row],[Ore]]</f>
        <v>46190</v>
      </c>
      <c r="F91" s="113">
        <f ca="1">TblProd[[#This Row],[Gems]]</f>
        <v>0</v>
      </c>
      <c r="G91" s="200"/>
      <c r="H91" s="113">
        <f ca="1">TblMili[[#This Row],[Draftees]]</f>
        <v>1737</v>
      </c>
      <c r="I91" s="234">
        <f ca="1">TblPop[[#This Row],[Employment]]</f>
        <v>1</v>
      </c>
      <c r="J91" s="234">
        <f ca="1">TblPop[[#This Row],[Total]]/TblPop[[#This Row],[Net max]]</f>
        <v>1</v>
      </c>
      <c r="K91" s="373">
        <f>TblRezone[[#This Row],[Hour]]</f>
        <v>88</v>
      </c>
      <c r="L91" s="374">
        <f ca="1">TblImps[[#This Row],[Real time]]</f>
        <v>44408.374999999789</v>
      </c>
      <c r="M91" s="74">
        <f>IF(ISERROR(TblImps[[#This Row],[algorithm]]),0,TblImps[[#This Row],[algorithm]]*1)</f>
        <v>0</v>
      </c>
      <c r="N91" s="113">
        <f ca="1">TblImps[[#This Row],[Land]]</f>
        <v>600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44408.374999999789</v>
      </c>
      <c r="BZ91" s="387">
        <f ca="1">OFFSET(TblImps[[#This Row],[Servertime]],-1,0)+1/24</f>
        <v>44408.624999999789</v>
      </c>
      <c r="CA91" s="141"/>
      <c r="CB91" s="385"/>
      <c r="CC91" s="385"/>
      <c r="CF91" s="389"/>
    </row>
    <row r="92" spans="1:84" x14ac:dyDescent="0.2">
      <c r="A92" s="280">
        <f ca="1">TblConstr[[#This Row],[Land]]</f>
        <v>600</v>
      </c>
      <c r="B92" s="184"/>
      <c r="C92" s="113">
        <f ca="1">TblProd[[#This Row],[Platinum]]</f>
        <v>823541</v>
      </c>
      <c r="D92" s="113">
        <f ca="1">TblProd[[#This Row],[Lumber]]</f>
        <v>44092</v>
      </c>
      <c r="E92" s="113">
        <f ca="1">TblProd[[#This Row],[Ore]]</f>
        <v>47990</v>
      </c>
      <c r="F92" s="113">
        <f ca="1">TblProd[[#This Row],[Gems]]</f>
        <v>0</v>
      </c>
      <c r="G92" s="200"/>
      <c r="H92" s="113">
        <f ca="1">TblMili[[#This Row],[Draftees]]</f>
        <v>1801</v>
      </c>
      <c r="I92" s="234">
        <f ca="1">TblPop[[#This Row],[Employment]]</f>
        <v>1</v>
      </c>
      <c r="J92" s="234">
        <f ca="1">TblPop[[#This Row],[Total]]/TblPop[[#This Row],[Net max]]</f>
        <v>1</v>
      </c>
      <c r="K92" s="373">
        <f>TblRezone[[#This Row],[Hour]]</f>
        <v>89</v>
      </c>
      <c r="L92" s="374">
        <f ca="1">TblImps[[#This Row],[Real time]]</f>
        <v>44408.416666666453</v>
      </c>
      <c r="M92" s="74">
        <f>IF(ISERROR(TblImps[[#This Row],[algorithm]]),0,TblImps[[#This Row],[algorithm]]*1)</f>
        <v>0</v>
      </c>
      <c r="N92" s="113">
        <f ca="1">TblImps[[#This Row],[Land]]</f>
        <v>600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44408.416666666453</v>
      </c>
      <c r="BZ92" s="387">
        <f ca="1">OFFSET(TblImps[[#This Row],[Servertime]],-1,0)+1/24</f>
        <v>44408.666666666453</v>
      </c>
      <c r="CA92" s="141"/>
      <c r="CB92" s="385"/>
      <c r="CC92" s="385"/>
      <c r="CF92" s="388"/>
    </row>
    <row r="93" spans="1:84" x14ac:dyDescent="0.2">
      <c r="A93" s="280">
        <f ca="1">TblConstr[[#This Row],[Land]]</f>
        <v>600</v>
      </c>
      <c r="B93" s="184"/>
      <c r="C93" s="113">
        <f ca="1">TblProd[[#This Row],[Platinum]]</f>
        <v>852393</v>
      </c>
      <c r="D93" s="113">
        <f ca="1">TblProd[[#This Row],[Lumber]]</f>
        <v>44651</v>
      </c>
      <c r="E93" s="113">
        <f ca="1">TblProd[[#This Row],[Ore]]</f>
        <v>49790</v>
      </c>
      <c r="F93" s="113">
        <f ca="1">TblProd[[#This Row],[Gems]]</f>
        <v>0</v>
      </c>
      <c r="G93" s="200"/>
      <c r="H93" s="113">
        <f ca="1">TblMili[[#This Row],[Draftees]]</f>
        <v>1864</v>
      </c>
      <c r="I93" s="234">
        <f ca="1">TblPop[[#This Row],[Employment]]</f>
        <v>1</v>
      </c>
      <c r="J93" s="234">
        <f ca="1">TblPop[[#This Row],[Total]]/TblPop[[#This Row],[Net max]]</f>
        <v>1</v>
      </c>
      <c r="K93" s="373">
        <f>TblRezone[[#This Row],[Hour]]</f>
        <v>90</v>
      </c>
      <c r="L93" s="374">
        <f ca="1">TblImps[[#This Row],[Real time]]</f>
        <v>44408.458333333117</v>
      </c>
      <c r="M93" s="74">
        <f>IF(ISERROR(TblImps[[#This Row],[algorithm]]),0,TblImps[[#This Row],[algorithm]]*1)</f>
        <v>0</v>
      </c>
      <c r="N93" s="113">
        <f ca="1">TblImps[[#This Row],[Land]]</f>
        <v>600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44408.458333333117</v>
      </c>
      <c r="BZ93" s="387">
        <f ca="1">OFFSET(TblImps[[#This Row],[Servertime]],-1,0)+1/24</f>
        <v>44408.708333333117</v>
      </c>
      <c r="CA93" s="141"/>
      <c r="CB93" s="385"/>
      <c r="CC93" s="385"/>
      <c r="CF93" s="388"/>
    </row>
    <row r="94" spans="1:84" x14ac:dyDescent="0.2">
      <c r="A94" s="280">
        <f ca="1">TblConstr[[#This Row],[Land]]</f>
        <v>600</v>
      </c>
      <c r="B94" s="184"/>
      <c r="C94" s="113">
        <f ca="1">TblProd[[#This Row],[Platinum]]</f>
        <v>881075</v>
      </c>
      <c r="D94" s="113">
        <f ca="1">TblProd[[#This Row],[Lumber]]</f>
        <v>45204</v>
      </c>
      <c r="E94" s="113">
        <f ca="1">TblProd[[#This Row],[Ore]]</f>
        <v>51590</v>
      </c>
      <c r="F94" s="113">
        <f ca="1">TblProd[[#This Row],[Gems]]</f>
        <v>0</v>
      </c>
      <c r="G94" s="200"/>
      <c r="H94" s="113">
        <f ca="1">TblMili[[#This Row],[Draftees]]</f>
        <v>1926</v>
      </c>
      <c r="I94" s="234">
        <f ca="1">TblPop[[#This Row],[Employment]]</f>
        <v>1</v>
      </c>
      <c r="J94" s="234">
        <f ca="1">TblPop[[#This Row],[Total]]/TblPop[[#This Row],[Net max]]</f>
        <v>1</v>
      </c>
      <c r="K94" s="373">
        <f>TblRezone[[#This Row],[Hour]]</f>
        <v>91</v>
      </c>
      <c r="L94" s="374">
        <f ca="1">TblImps[[#This Row],[Real time]]</f>
        <v>44408.499999999782</v>
      </c>
      <c r="M94" s="74">
        <f>IF(ISERROR(TblImps[[#This Row],[algorithm]]),0,TblImps[[#This Row],[algorithm]]*1)</f>
        <v>0</v>
      </c>
      <c r="N94" s="113">
        <f ca="1">TblImps[[#This Row],[Land]]</f>
        <v>600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44408.499999999782</v>
      </c>
      <c r="BZ94" s="387">
        <f ca="1">OFFSET(TblImps[[#This Row],[Servertime]],-1,0)+1/24</f>
        <v>44408.749999999782</v>
      </c>
      <c r="CA94" s="141"/>
      <c r="CB94" s="385"/>
      <c r="CC94" s="385"/>
    </row>
    <row r="95" spans="1:84" x14ac:dyDescent="0.2">
      <c r="A95" s="280">
        <f ca="1">TblConstr[[#This Row],[Land]]</f>
        <v>600</v>
      </c>
      <c r="B95" s="184"/>
      <c r="C95" s="113">
        <f ca="1">TblProd[[#This Row],[Platinum]]</f>
        <v>909589</v>
      </c>
      <c r="D95" s="113">
        <f ca="1">TblProd[[#This Row],[Lumber]]</f>
        <v>45752</v>
      </c>
      <c r="E95" s="113">
        <f ca="1">TblProd[[#This Row],[Ore]]</f>
        <v>53390</v>
      </c>
      <c r="F95" s="113">
        <f ca="1">TblProd[[#This Row],[Gems]]</f>
        <v>0</v>
      </c>
      <c r="G95" s="200"/>
      <c r="H95" s="113">
        <f ca="1">TblMili[[#This Row],[Draftees]]</f>
        <v>1988</v>
      </c>
      <c r="I95" s="234">
        <f ca="1">TblPop[[#This Row],[Employment]]</f>
        <v>1</v>
      </c>
      <c r="J95" s="234">
        <f ca="1">TblPop[[#This Row],[Total]]/TblPop[[#This Row],[Net max]]</f>
        <v>1</v>
      </c>
      <c r="K95" s="373">
        <f>TblRezone[[#This Row],[Hour]]</f>
        <v>92</v>
      </c>
      <c r="L95" s="374">
        <f ca="1">TblImps[[#This Row],[Real time]]</f>
        <v>44408.541666666446</v>
      </c>
      <c r="M95" s="74">
        <f>IF(ISERROR(TblImps[[#This Row],[algorithm]]),0,TblImps[[#This Row],[algorithm]]*1)</f>
        <v>0</v>
      </c>
      <c r="N95" s="113">
        <f ca="1">TblImps[[#This Row],[Land]]</f>
        <v>600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44408.541666666446</v>
      </c>
      <c r="BZ95" s="387">
        <f ca="1">OFFSET(TblImps[[#This Row],[Servertime]],-1,0)+1/24</f>
        <v>44408.791666666446</v>
      </c>
      <c r="CA95" s="141"/>
      <c r="CB95" s="385"/>
      <c r="CC95" s="385"/>
    </row>
    <row r="96" spans="1:84" x14ac:dyDescent="0.2">
      <c r="A96" s="280">
        <f ca="1">TblConstr[[#This Row],[Land]]</f>
        <v>600</v>
      </c>
      <c r="B96" s="184"/>
      <c r="C96" s="113">
        <f ca="1">TblProd[[#This Row],[Platinum]]</f>
        <v>937936</v>
      </c>
      <c r="D96" s="113">
        <f ca="1">TblProd[[#This Row],[Lumber]]</f>
        <v>46294</v>
      </c>
      <c r="E96" s="113">
        <f ca="1">TblProd[[#This Row],[Ore]]</f>
        <v>55190</v>
      </c>
      <c r="F96" s="113">
        <f ca="1">TblProd[[#This Row],[Gems]]</f>
        <v>0</v>
      </c>
      <c r="G96" s="200"/>
      <c r="H96" s="113">
        <f ca="1">TblMili[[#This Row],[Draftees]]</f>
        <v>2049</v>
      </c>
      <c r="I96" s="234">
        <f ca="1">TblPop[[#This Row],[Employment]]</f>
        <v>1</v>
      </c>
      <c r="J96" s="234">
        <f ca="1">TblPop[[#This Row],[Total]]/TblPop[[#This Row],[Net max]]</f>
        <v>1</v>
      </c>
      <c r="K96" s="373">
        <f>TblRezone[[#This Row],[Hour]]</f>
        <v>93</v>
      </c>
      <c r="L96" s="374">
        <f ca="1">TblImps[[#This Row],[Real time]]</f>
        <v>44408.58333333311</v>
      </c>
      <c r="M96" s="74">
        <f>IF(ISERROR(TblImps[[#This Row],[algorithm]]),0,TblImps[[#This Row],[algorithm]]*1)</f>
        <v>0</v>
      </c>
      <c r="N96" s="113">
        <f ca="1">TblImps[[#This Row],[Land]]</f>
        <v>600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44408.58333333311</v>
      </c>
      <c r="BZ96" s="387">
        <f ca="1">OFFSET(TblImps[[#This Row],[Servertime]],-1,0)+1/24</f>
        <v>44408.83333333311</v>
      </c>
      <c r="CA96" s="141"/>
      <c r="CB96" s="385"/>
      <c r="CC96" s="385"/>
    </row>
    <row r="97" spans="1:82" x14ac:dyDescent="0.2">
      <c r="A97" s="280">
        <f ca="1">TblConstr[[#This Row],[Land]]</f>
        <v>600</v>
      </c>
      <c r="B97" s="184"/>
      <c r="C97" s="113">
        <f ca="1">TblProd[[#This Row],[Platinum]]</f>
        <v>966118</v>
      </c>
      <c r="D97" s="113">
        <f ca="1">TblProd[[#This Row],[Lumber]]</f>
        <v>46831</v>
      </c>
      <c r="E97" s="113">
        <f ca="1">TblProd[[#This Row],[Ore]]</f>
        <v>56990</v>
      </c>
      <c r="F97" s="113">
        <f ca="1">TblProd[[#This Row],[Gems]]</f>
        <v>0</v>
      </c>
      <c r="G97" s="200"/>
      <c r="H97" s="113">
        <f ca="1">TblMili[[#This Row],[Draftees]]</f>
        <v>2109</v>
      </c>
      <c r="I97" s="234">
        <f ca="1">TblPop[[#This Row],[Employment]]</f>
        <v>1</v>
      </c>
      <c r="J97" s="234">
        <f ca="1">TblPop[[#This Row],[Total]]/TblPop[[#This Row],[Net max]]</f>
        <v>1</v>
      </c>
      <c r="K97" s="373">
        <f>TblRezone[[#This Row],[Hour]]</f>
        <v>94</v>
      </c>
      <c r="L97" s="374">
        <f ca="1">TblImps[[#This Row],[Real time]]</f>
        <v>44408.624999999774</v>
      </c>
      <c r="M97" s="74">
        <f>IF(ISERROR(TblImps[[#This Row],[algorithm]]),0,TblImps[[#This Row],[algorithm]]*1)</f>
        <v>0</v>
      </c>
      <c r="N97" s="113">
        <f ca="1">TblImps[[#This Row],[Land]]</f>
        <v>600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44408.624999999774</v>
      </c>
      <c r="BZ97" s="387">
        <f ca="1">OFFSET(TblImps[[#This Row],[Servertime]],-1,0)+1/24</f>
        <v>44408.874999999774</v>
      </c>
      <c r="CA97" s="141"/>
      <c r="CB97" s="385"/>
      <c r="CC97" s="385"/>
    </row>
    <row r="98" spans="1:82" x14ac:dyDescent="0.2">
      <c r="A98" s="280">
        <f ca="1">TblConstr[[#This Row],[Land]]</f>
        <v>600</v>
      </c>
      <c r="B98" s="184"/>
      <c r="C98" s="113">
        <f ca="1">TblProd[[#This Row],[Platinum]]</f>
        <v>994138</v>
      </c>
      <c r="D98" s="113">
        <f ca="1">TblProd[[#This Row],[Lumber]]</f>
        <v>47363</v>
      </c>
      <c r="E98" s="113">
        <f ca="1">TblProd[[#This Row],[Ore]]</f>
        <v>58790</v>
      </c>
      <c r="F98" s="113">
        <f ca="1">TblProd[[#This Row],[Gems]]</f>
        <v>0</v>
      </c>
      <c r="G98" s="200"/>
      <c r="H98" s="113">
        <f ca="1">TblMili[[#This Row],[Draftees]]</f>
        <v>2169</v>
      </c>
      <c r="I98" s="234">
        <f ca="1">TblPop[[#This Row],[Employment]]</f>
        <v>1</v>
      </c>
      <c r="J98" s="234">
        <f ca="1">TblPop[[#This Row],[Total]]/TblPop[[#This Row],[Net max]]</f>
        <v>1</v>
      </c>
      <c r="K98" s="373">
        <f>TblRezone[[#This Row],[Hour]]</f>
        <v>95</v>
      </c>
      <c r="L98" s="374">
        <f ca="1">TblImps[[#This Row],[Real time]]</f>
        <v>44408.666666666439</v>
      </c>
      <c r="M98" s="74">
        <f>IF(ISERROR(TblImps[[#This Row],[algorithm]]),0,TblImps[[#This Row],[algorithm]]*1)</f>
        <v>0</v>
      </c>
      <c r="N98" s="113">
        <f ca="1">TblImps[[#This Row],[Land]]</f>
        <v>600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44408.666666666439</v>
      </c>
      <c r="BZ98" s="387">
        <f ca="1">OFFSET(TblImps[[#This Row],[Servertime]],-1,0)+1/24</f>
        <v>44408.916666666439</v>
      </c>
      <c r="CA98" s="141"/>
      <c r="CB98" s="385"/>
      <c r="CC98" s="385"/>
    </row>
    <row r="99" spans="1:82" x14ac:dyDescent="0.2">
      <c r="A99" s="280">
        <f ca="1">TblConstr[[#This Row],[Land]]</f>
        <v>600</v>
      </c>
      <c r="B99" s="184"/>
      <c r="C99" s="113">
        <f ca="1">TblProd[[#This Row],[Platinum]]</f>
        <v>1021996</v>
      </c>
      <c r="D99" s="113">
        <f ca="1">TblProd[[#This Row],[Lumber]]</f>
        <v>47889</v>
      </c>
      <c r="E99" s="113">
        <f ca="1">TblProd[[#This Row],[Ore]]</f>
        <v>60590</v>
      </c>
      <c r="F99" s="113">
        <f ca="1">TblProd[[#This Row],[Gems]]</f>
        <v>0</v>
      </c>
      <c r="G99" s="200"/>
      <c r="H99" s="113">
        <f ca="1">TblMili[[#This Row],[Draftees]]</f>
        <v>2228</v>
      </c>
      <c r="I99" s="234">
        <f ca="1">TblPop[[#This Row],[Employment]]</f>
        <v>1</v>
      </c>
      <c r="J99" s="234">
        <f ca="1">TblPop[[#This Row],[Total]]/TblPop[[#This Row],[Net max]]</f>
        <v>1</v>
      </c>
      <c r="K99" s="373">
        <f>TblRezone[[#This Row],[Hour]]</f>
        <v>96</v>
      </c>
      <c r="L99" s="374">
        <f ca="1">TblImps[[#This Row],[Real time]]</f>
        <v>44408.708333333103</v>
      </c>
      <c r="M99" s="74">
        <f>IF(ISERROR(TblImps[[#This Row],[algorithm]]),0,TblImps[[#This Row],[algorithm]]*1)</f>
        <v>0</v>
      </c>
      <c r="N99" s="113">
        <f ca="1">TblImps[[#This Row],[Land]]</f>
        <v>600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44408.708333333103</v>
      </c>
      <c r="BZ99" s="387">
        <f ca="1">OFFSET(TblImps[[#This Row],[Servertime]],-1,0)+1/24</f>
        <v>44408.958333333103</v>
      </c>
      <c r="CA99" s="141"/>
      <c r="CB99" s="385"/>
      <c r="CC99" s="385"/>
    </row>
    <row r="100" spans="1:82" x14ac:dyDescent="0.2">
      <c r="A100" s="280">
        <f ca="1">TblConstr[[#This Row],[Land]]</f>
        <v>600</v>
      </c>
      <c r="B100" s="184"/>
      <c r="C100" s="113">
        <f ca="1">TblProd[[#This Row],[Platinum]]</f>
        <v>1049695</v>
      </c>
      <c r="D100" s="113">
        <f ca="1">TblProd[[#This Row],[Lumber]]</f>
        <v>48410</v>
      </c>
      <c r="E100" s="113">
        <f ca="1">TblProd[[#This Row],[Ore]]</f>
        <v>62390</v>
      </c>
      <c r="F100" s="113">
        <f ca="1">TblProd[[#This Row],[Gems]]</f>
        <v>0</v>
      </c>
      <c r="G100" s="200"/>
      <c r="H100" s="113">
        <f ca="1">TblMili[[#This Row],[Draftees]]</f>
        <v>2287</v>
      </c>
      <c r="I100" s="234">
        <f ca="1">TblPop[[#This Row],[Employment]]</f>
        <v>1</v>
      </c>
      <c r="J100" s="234">
        <f ca="1">TblPop[[#This Row],[Total]]/TblPop[[#This Row],[Net max]]</f>
        <v>1</v>
      </c>
      <c r="K100" s="373">
        <f>TblRezone[[#This Row],[Hour]]</f>
        <v>97</v>
      </c>
      <c r="L100" s="374">
        <f ca="1">TblImps[[#This Row],[Real time]]</f>
        <v>44408.749999999767</v>
      </c>
      <c r="M100" s="74">
        <f>IF(ISERROR(TblImps[[#This Row],[algorithm]]),0,TblImps[[#This Row],[algorithm]]*1)</f>
        <v>0</v>
      </c>
      <c r="N100" s="113">
        <f ca="1">TblImps[[#This Row],[Land]]</f>
        <v>600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44408.749999999767</v>
      </c>
      <c r="BZ100" s="387">
        <f ca="1">OFFSET(TblImps[[#This Row],[Servertime]],-1,0)+1/24</f>
        <v>44408.999999999767</v>
      </c>
      <c r="CA100" s="141"/>
      <c r="CB100" s="385"/>
      <c r="CC100" s="385"/>
    </row>
    <row r="101" spans="1:82" x14ac:dyDescent="0.2">
      <c r="A101" s="280">
        <f ca="1">TblConstr[[#This Row],[Land]]</f>
        <v>600</v>
      </c>
      <c r="B101" s="184"/>
      <c r="C101" s="113">
        <f ca="1">TblProd[[#This Row],[Platinum]]</f>
        <v>1077235</v>
      </c>
      <c r="D101" s="113">
        <f ca="1">TblProd[[#This Row],[Lumber]]</f>
        <v>48926</v>
      </c>
      <c r="E101" s="113">
        <f ca="1">TblProd[[#This Row],[Ore]]</f>
        <v>64190</v>
      </c>
      <c r="F101" s="113">
        <f ca="1">TblProd[[#This Row],[Gems]]</f>
        <v>0</v>
      </c>
      <c r="G101" s="200"/>
      <c r="H101" s="113">
        <f ca="1">TblMili[[#This Row],[Draftees]]</f>
        <v>2345</v>
      </c>
      <c r="I101" s="234">
        <f ca="1">TblPop[[#This Row],[Employment]]</f>
        <v>1</v>
      </c>
      <c r="J101" s="234">
        <f ca="1">TblPop[[#This Row],[Total]]/TblPop[[#This Row],[Net max]]</f>
        <v>1</v>
      </c>
      <c r="K101" s="373">
        <f>TblRezone[[#This Row],[Hour]]</f>
        <v>98</v>
      </c>
      <c r="L101" s="374">
        <f ca="1">TblImps[[#This Row],[Real time]]</f>
        <v>44408.791666666431</v>
      </c>
      <c r="M101" s="74">
        <f>IF(ISERROR(TblImps[[#This Row],[algorithm]]),0,TblImps[[#This Row],[algorithm]]*1)</f>
        <v>0</v>
      </c>
      <c r="N101" s="113">
        <f ca="1">TblImps[[#This Row],[Land]]</f>
        <v>600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44408.791666666431</v>
      </c>
      <c r="BZ101" s="387">
        <f ca="1">OFFSET(TblImps[[#This Row],[Servertime]],-1,0)+1/24</f>
        <v>44409.041666666431</v>
      </c>
      <c r="CA101" s="141"/>
      <c r="CB101" s="385"/>
      <c r="CC101" s="385"/>
    </row>
    <row r="102" spans="1:82" x14ac:dyDescent="0.2">
      <c r="A102" s="280">
        <f ca="1">TblConstr[[#This Row],[Land]]</f>
        <v>600</v>
      </c>
      <c r="B102" s="184"/>
      <c r="C102" s="113">
        <f ca="1">TblProd[[#This Row],[Platinum]]</f>
        <v>1104618</v>
      </c>
      <c r="D102" s="113">
        <f ca="1">TblProd[[#This Row],[Lumber]]</f>
        <v>49437</v>
      </c>
      <c r="E102" s="113">
        <f ca="1">TblProd[[#This Row],[Ore]]</f>
        <v>65990</v>
      </c>
      <c r="F102" s="113">
        <f ca="1">TblProd[[#This Row],[Gems]]</f>
        <v>0</v>
      </c>
      <c r="G102" s="200"/>
      <c r="H102" s="113">
        <f ca="1">TblMili[[#This Row],[Draftees]]</f>
        <v>2402</v>
      </c>
      <c r="I102" s="234">
        <f ca="1">TblPop[[#This Row],[Employment]]</f>
        <v>1</v>
      </c>
      <c r="J102" s="234">
        <f ca="1">TblPop[[#This Row],[Total]]/TblPop[[#This Row],[Net max]]</f>
        <v>1</v>
      </c>
      <c r="K102" s="373">
        <f>TblRezone[[#This Row],[Hour]]</f>
        <v>99</v>
      </c>
      <c r="L102" s="374">
        <f ca="1">TblImps[[#This Row],[Real time]]</f>
        <v>44408.833333333096</v>
      </c>
      <c r="M102" s="74">
        <f>IF(ISERROR(TblImps[[#This Row],[algorithm]]),0,TblImps[[#This Row],[algorithm]]*1)</f>
        <v>0</v>
      </c>
      <c r="N102" s="113">
        <f ca="1">TblImps[[#This Row],[Land]]</f>
        <v>600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44408.833333333096</v>
      </c>
      <c r="BZ102" s="387">
        <f ca="1">OFFSET(TblImps[[#This Row],[Servertime]],-1,0)+1/24</f>
        <v>44409.083333333096</v>
      </c>
      <c r="CA102" s="141"/>
      <c r="CB102" s="385"/>
      <c r="CC102" s="385"/>
      <c r="CD102" s="59" t="s">
        <v>4</v>
      </c>
    </row>
    <row r="103" spans="1:82" x14ac:dyDescent="0.2">
      <c r="A103" s="280">
        <f ca="1">TblConstr[[#This Row],[Land]]</f>
        <v>600</v>
      </c>
      <c r="B103" s="184"/>
      <c r="C103" s="113">
        <f ca="1">TblProd[[#This Row],[Platinum]]</f>
        <v>1131847</v>
      </c>
      <c r="D103" s="113">
        <f ca="1">TblProd[[#This Row],[Lumber]]</f>
        <v>49943</v>
      </c>
      <c r="E103" s="113">
        <f ca="1">TblProd[[#This Row],[Ore]]</f>
        <v>67790</v>
      </c>
      <c r="F103" s="113">
        <f ca="1">TblProd[[#This Row],[Gems]]</f>
        <v>0</v>
      </c>
      <c r="G103" s="200"/>
      <c r="H103" s="113">
        <f ca="1">TblMili[[#This Row],[Draftees]]</f>
        <v>2459</v>
      </c>
      <c r="I103" s="234">
        <f ca="1">TblPop[[#This Row],[Employment]]</f>
        <v>1</v>
      </c>
      <c r="J103" s="234">
        <f ca="1">TblPop[[#This Row],[Total]]/TblPop[[#This Row],[Net max]]</f>
        <v>1</v>
      </c>
      <c r="K103" s="373">
        <f>TblRezone[[#This Row],[Hour]]</f>
        <v>100</v>
      </c>
      <c r="L103" s="374">
        <f ca="1">TblImps[[#This Row],[Real time]]</f>
        <v>44408.87499999976</v>
      </c>
      <c r="M103" s="74">
        <f>IF(ISERROR(TblImps[[#This Row],[algorithm]]),0,TblImps[[#This Row],[algorithm]]*1)</f>
        <v>0</v>
      </c>
      <c r="N103" s="113">
        <f ca="1">TblImps[[#This Row],[Land]]</f>
        <v>600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44408.87499999976</v>
      </c>
      <c r="BZ103" s="387">
        <f ca="1">OFFSET(TblImps[[#This Row],[Servertime]],-1,0)+1/24</f>
        <v>44409.12499999976</v>
      </c>
      <c r="CA103" s="141"/>
      <c r="CB103" s="385"/>
      <c r="CC103" s="385"/>
      <c r="CD103" s="59" t="s">
        <v>7</v>
      </c>
    </row>
    <row r="104" spans="1:82" x14ac:dyDescent="0.2">
      <c r="A104" s="280">
        <f ca="1">TblConstr[[#This Row],[Land]]</f>
        <v>600</v>
      </c>
      <c r="B104" s="184"/>
      <c r="C104" s="113">
        <f ca="1">TblProd[[#This Row],[Platinum]]</f>
        <v>1158922</v>
      </c>
      <c r="D104" s="113">
        <f ca="1">TblProd[[#This Row],[Lumber]]</f>
        <v>50444</v>
      </c>
      <c r="E104" s="113">
        <f ca="1">TblProd[[#This Row],[Ore]]</f>
        <v>69590</v>
      </c>
      <c r="F104" s="113">
        <f ca="1">TblProd[[#This Row],[Gems]]</f>
        <v>0</v>
      </c>
      <c r="G104" s="200"/>
      <c r="H104" s="113">
        <f ca="1">TblMili[[#This Row],[Draftees]]</f>
        <v>2515</v>
      </c>
      <c r="I104" s="234">
        <f ca="1">TblPop[[#This Row],[Employment]]</f>
        <v>1</v>
      </c>
      <c r="J104" s="234">
        <f ca="1">TblPop[[#This Row],[Total]]/TblPop[[#This Row],[Net max]]</f>
        <v>1</v>
      </c>
      <c r="K104" s="373">
        <f>TblRezone[[#This Row],[Hour]]</f>
        <v>101</v>
      </c>
      <c r="L104" s="374">
        <f ca="1">TblImps[[#This Row],[Real time]]</f>
        <v>44408.916666666424</v>
      </c>
      <c r="M104" s="74">
        <f>IF(ISERROR(TblImps[[#This Row],[algorithm]]),0,TblImps[[#This Row],[algorithm]]*1)</f>
        <v>0</v>
      </c>
      <c r="N104" s="113">
        <f ca="1">TblImps[[#This Row],[Land]]</f>
        <v>600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44408.916666666424</v>
      </c>
      <c r="BZ104" s="387">
        <f ca="1">OFFSET(TblImps[[#This Row],[Servertime]],-1,0)+1/24</f>
        <v>44409.166666666424</v>
      </c>
      <c r="CA104" s="141"/>
      <c r="CB104" s="385"/>
      <c r="CC104" s="385"/>
      <c r="CD104" s="59" t="s">
        <v>3</v>
      </c>
    </row>
    <row r="105" spans="1:82" x14ac:dyDescent="0.2">
      <c r="A105" s="280">
        <f ca="1">TblConstr[[#This Row],[Land]]</f>
        <v>600</v>
      </c>
      <c r="B105" s="184"/>
      <c r="C105" s="113">
        <f ca="1">TblProd[[#This Row],[Platinum]]</f>
        <v>1185846</v>
      </c>
      <c r="D105" s="113">
        <f ca="1">TblProd[[#This Row],[Lumber]]</f>
        <v>50940</v>
      </c>
      <c r="E105" s="113">
        <f ca="1">TblProd[[#This Row],[Ore]]</f>
        <v>71390</v>
      </c>
      <c r="F105" s="113">
        <f ca="1">TblProd[[#This Row],[Gems]]</f>
        <v>0</v>
      </c>
      <c r="G105" s="200"/>
      <c r="H105" s="113">
        <f ca="1">TblMili[[#This Row],[Draftees]]</f>
        <v>2571</v>
      </c>
      <c r="I105" s="234">
        <f ca="1">TblPop[[#This Row],[Employment]]</f>
        <v>1</v>
      </c>
      <c r="J105" s="234">
        <f ca="1">TblPop[[#This Row],[Total]]/TblPop[[#This Row],[Net max]]</f>
        <v>1</v>
      </c>
      <c r="K105" s="373">
        <f>TblRezone[[#This Row],[Hour]]</f>
        <v>102</v>
      </c>
      <c r="L105" s="374">
        <f ca="1">TblImps[[#This Row],[Real time]]</f>
        <v>44408.958333333088</v>
      </c>
      <c r="M105" s="74">
        <f>IF(ISERROR(TblImps[[#This Row],[algorithm]]),0,TblImps[[#This Row],[algorithm]]*1)</f>
        <v>0</v>
      </c>
      <c r="N105" s="113">
        <f ca="1">TblImps[[#This Row],[Land]]</f>
        <v>600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44408.958333333088</v>
      </c>
      <c r="BZ105" s="387">
        <f ca="1">OFFSET(TblImps[[#This Row],[Servertime]],-1,0)+1/24</f>
        <v>44409.208333333088</v>
      </c>
      <c r="CA105" s="141"/>
      <c r="CB105" s="385"/>
      <c r="CC105" s="385"/>
      <c r="CD105" s="59" t="s">
        <v>2</v>
      </c>
    </row>
    <row r="106" spans="1:82" x14ac:dyDescent="0.2">
      <c r="A106" s="280">
        <f ca="1">TblConstr[[#This Row],[Land]]</f>
        <v>600</v>
      </c>
      <c r="B106" s="184"/>
      <c r="C106" s="113">
        <f ca="1">TblProd[[#This Row],[Platinum]]</f>
        <v>1212619</v>
      </c>
      <c r="D106" s="113">
        <f ca="1">TblProd[[#This Row],[Lumber]]</f>
        <v>51431</v>
      </c>
      <c r="E106" s="113">
        <f ca="1">TblProd[[#This Row],[Ore]]</f>
        <v>73190</v>
      </c>
      <c r="F106" s="113">
        <f ca="1">TblProd[[#This Row],[Gems]]</f>
        <v>0</v>
      </c>
      <c r="G106" s="200"/>
      <c r="H106" s="113">
        <f ca="1">TblMili[[#This Row],[Draftees]]</f>
        <v>2626</v>
      </c>
      <c r="I106" s="234">
        <f ca="1">TblPop[[#This Row],[Employment]]</f>
        <v>1</v>
      </c>
      <c r="J106" s="234">
        <f ca="1">TblPop[[#This Row],[Total]]/TblPop[[#This Row],[Net max]]</f>
        <v>1</v>
      </c>
      <c r="K106" s="373">
        <f>TblRezone[[#This Row],[Hour]]</f>
        <v>103</v>
      </c>
      <c r="L106" s="374">
        <f ca="1">TblImps[[#This Row],[Real time]]</f>
        <v>44408.999999999753</v>
      </c>
      <c r="M106" s="74">
        <f>IF(ISERROR(TblImps[[#This Row],[algorithm]]),0,TblImps[[#This Row],[algorithm]]*1)</f>
        <v>0</v>
      </c>
      <c r="N106" s="113">
        <f ca="1">TblImps[[#This Row],[Land]]</f>
        <v>600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44408.999999999753</v>
      </c>
      <c r="BZ106" s="387">
        <f ca="1">OFFSET(TblImps[[#This Row],[Servertime]],-1,0)+1/24</f>
        <v>44409.249999999753</v>
      </c>
      <c r="CA106" s="141"/>
      <c r="CB106" s="385"/>
      <c r="CC106" s="385"/>
    </row>
    <row r="107" spans="1:82" x14ac:dyDescent="0.2">
      <c r="A107" s="280">
        <f ca="1">TblConstr[[#This Row],[Land]]</f>
        <v>600</v>
      </c>
      <c r="B107" s="184"/>
      <c r="C107" s="113">
        <f ca="1">TblProd[[#This Row],[Platinum]]</f>
        <v>1239243</v>
      </c>
      <c r="D107" s="113">
        <f ca="1">TblProd[[#This Row],[Lumber]]</f>
        <v>51917</v>
      </c>
      <c r="E107" s="113">
        <f ca="1">TblProd[[#This Row],[Ore]]</f>
        <v>74990</v>
      </c>
      <c r="F107" s="113">
        <f ca="1">TblProd[[#This Row],[Gems]]</f>
        <v>0</v>
      </c>
      <c r="G107" s="200"/>
      <c r="H107" s="113">
        <f ca="1">TblMili[[#This Row],[Draftees]]</f>
        <v>2681</v>
      </c>
      <c r="I107" s="234">
        <f ca="1">TblPop[[#This Row],[Employment]]</f>
        <v>1</v>
      </c>
      <c r="J107" s="234">
        <f ca="1">TblPop[[#This Row],[Total]]/TblPop[[#This Row],[Net max]]</f>
        <v>1</v>
      </c>
      <c r="K107" s="373">
        <f>TblRezone[[#This Row],[Hour]]</f>
        <v>104</v>
      </c>
      <c r="L107" s="374">
        <f ca="1">TblImps[[#This Row],[Real time]]</f>
        <v>44409.041666666417</v>
      </c>
      <c r="M107" s="74">
        <f>IF(ISERROR(TblImps[[#This Row],[algorithm]]),0,TblImps[[#This Row],[algorithm]]*1)</f>
        <v>0</v>
      </c>
      <c r="N107" s="113">
        <f ca="1">TblImps[[#This Row],[Land]]</f>
        <v>600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44409.041666666417</v>
      </c>
      <c r="BZ107" s="387">
        <f ca="1">OFFSET(TblImps[[#This Row],[Servertime]],-1,0)+1/24</f>
        <v>44409.291666666417</v>
      </c>
      <c r="CA107" s="141"/>
      <c r="CB107" s="385"/>
      <c r="CC107" s="385"/>
      <c r="CD107" s="59" t="s">
        <v>220</v>
      </c>
    </row>
    <row r="108" spans="1:82" x14ac:dyDescent="0.2">
      <c r="A108" s="280">
        <f ca="1">TblConstr[[#This Row],[Land]]</f>
        <v>600</v>
      </c>
      <c r="B108" s="184"/>
      <c r="C108" s="113">
        <f ca="1">TblProd[[#This Row],[Platinum]]</f>
        <v>1265719</v>
      </c>
      <c r="D108" s="113">
        <f ca="1">TblProd[[#This Row],[Lumber]]</f>
        <v>52398</v>
      </c>
      <c r="E108" s="113">
        <f ca="1">TblProd[[#This Row],[Ore]]</f>
        <v>76790</v>
      </c>
      <c r="F108" s="113">
        <f ca="1">TblProd[[#This Row],[Gems]]</f>
        <v>0</v>
      </c>
      <c r="G108" s="200"/>
      <c r="H108" s="113">
        <f ca="1">TblMili[[#This Row],[Draftees]]</f>
        <v>2735</v>
      </c>
      <c r="I108" s="234">
        <f ca="1">TblPop[[#This Row],[Employment]]</f>
        <v>1</v>
      </c>
      <c r="J108" s="234">
        <f ca="1">TblPop[[#This Row],[Total]]/TblPop[[#This Row],[Net max]]</f>
        <v>1</v>
      </c>
      <c r="K108" s="373">
        <f>TblRezone[[#This Row],[Hour]]</f>
        <v>105</v>
      </c>
      <c r="L108" s="374">
        <f ca="1">TblImps[[#This Row],[Real time]]</f>
        <v>44409.083333333081</v>
      </c>
      <c r="M108" s="74">
        <f>IF(ISERROR(TblImps[[#This Row],[algorithm]]),0,TblImps[[#This Row],[algorithm]]*1)</f>
        <v>0</v>
      </c>
      <c r="N108" s="113">
        <f ca="1">TblImps[[#This Row],[Land]]</f>
        <v>600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44409.083333333081</v>
      </c>
      <c r="BZ108" s="387">
        <f ca="1">OFFSET(TblImps[[#This Row],[Servertime]],-1,0)+1/24</f>
        <v>44409.333333333081</v>
      </c>
      <c r="CA108" s="141"/>
      <c r="CB108" s="385"/>
      <c r="CC108" s="385"/>
      <c r="CD108" s="59" t="s">
        <v>222</v>
      </c>
    </row>
    <row r="109" spans="1:82" x14ac:dyDescent="0.2">
      <c r="A109" s="280">
        <f ca="1">TblConstr[[#This Row],[Land]]</f>
        <v>600</v>
      </c>
      <c r="B109" s="184"/>
      <c r="C109" s="113">
        <f ca="1">TblProd[[#This Row],[Platinum]]</f>
        <v>1292049</v>
      </c>
      <c r="D109" s="113">
        <f ca="1">TblProd[[#This Row],[Lumber]]</f>
        <v>52874</v>
      </c>
      <c r="E109" s="113">
        <f ca="1">TblProd[[#This Row],[Ore]]</f>
        <v>78590</v>
      </c>
      <c r="F109" s="113">
        <f ca="1">TblProd[[#This Row],[Gems]]</f>
        <v>0</v>
      </c>
      <c r="G109" s="200"/>
      <c r="H109" s="113">
        <f ca="1">TblMili[[#This Row],[Draftees]]</f>
        <v>2789</v>
      </c>
      <c r="I109" s="234">
        <f ca="1">TblPop[[#This Row],[Employment]]</f>
        <v>1</v>
      </c>
      <c r="J109" s="234">
        <f ca="1">TblPop[[#This Row],[Total]]/TblPop[[#This Row],[Net max]]</f>
        <v>1</v>
      </c>
      <c r="K109" s="373">
        <f>TblRezone[[#This Row],[Hour]]</f>
        <v>106</v>
      </c>
      <c r="L109" s="374">
        <f ca="1">TblImps[[#This Row],[Real time]]</f>
        <v>44409.124999999745</v>
      </c>
      <c r="M109" s="74">
        <f>IF(ISERROR(TblImps[[#This Row],[algorithm]]),0,TblImps[[#This Row],[algorithm]]*1)</f>
        <v>0</v>
      </c>
      <c r="N109" s="113">
        <f ca="1">TblImps[[#This Row],[Land]]</f>
        <v>600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44409.124999999745</v>
      </c>
      <c r="BZ109" s="387">
        <f ca="1">OFFSET(TblImps[[#This Row],[Servertime]],-1,0)+1/24</f>
        <v>44409.374999999745</v>
      </c>
      <c r="CA109" s="141"/>
      <c r="CB109" s="385"/>
      <c r="CC109" s="385"/>
      <c r="CD109" s="59" t="s">
        <v>223</v>
      </c>
    </row>
    <row r="110" spans="1:82" x14ac:dyDescent="0.2">
      <c r="A110" s="280">
        <f ca="1">TblConstr[[#This Row],[Land]]</f>
        <v>600</v>
      </c>
      <c r="B110" s="184"/>
      <c r="C110" s="113">
        <f ca="1">TblProd[[#This Row],[Platinum]]</f>
        <v>1318233</v>
      </c>
      <c r="D110" s="113">
        <f ca="1">TblProd[[#This Row],[Lumber]]</f>
        <v>53345</v>
      </c>
      <c r="E110" s="113">
        <f ca="1">TblProd[[#This Row],[Ore]]</f>
        <v>80390</v>
      </c>
      <c r="F110" s="113">
        <f ca="1">TblProd[[#This Row],[Gems]]</f>
        <v>0</v>
      </c>
      <c r="G110" s="200"/>
      <c r="H110" s="113">
        <f ca="1">TblMili[[#This Row],[Draftees]]</f>
        <v>2842</v>
      </c>
      <c r="I110" s="234">
        <f ca="1">TblPop[[#This Row],[Employment]]</f>
        <v>1</v>
      </c>
      <c r="J110" s="234">
        <f ca="1">TblPop[[#This Row],[Total]]/TblPop[[#This Row],[Net max]]</f>
        <v>1</v>
      </c>
      <c r="K110" s="373">
        <f>TblRezone[[#This Row],[Hour]]</f>
        <v>107</v>
      </c>
      <c r="L110" s="374">
        <f ca="1">TblImps[[#This Row],[Real time]]</f>
        <v>44409.16666666641</v>
      </c>
      <c r="M110" s="74">
        <f>IF(ISERROR(TblImps[[#This Row],[algorithm]]),0,TblImps[[#This Row],[algorithm]]*1)</f>
        <v>0</v>
      </c>
      <c r="N110" s="113">
        <f ca="1">TblImps[[#This Row],[Land]]</f>
        <v>600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44409.16666666641</v>
      </c>
      <c r="BZ110" s="387">
        <f ca="1">OFFSET(TblImps[[#This Row],[Servertime]],-1,0)+1/24</f>
        <v>44409.41666666641</v>
      </c>
      <c r="CA110" s="141"/>
      <c r="CB110" s="385"/>
      <c r="CC110" s="385"/>
      <c r="CD110" s="59" t="s">
        <v>224</v>
      </c>
    </row>
    <row r="111" spans="1:82" x14ac:dyDescent="0.2">
      <c r="A111" s="280">
        <f ca="1">TblConstr[[#This Row],[Land]]</f>
        <v>600</v>
      </c>
      <c r="B111" s="184"/>
      <c r="C111" s="113">
        <f ca="1">TblProd[[#This Row],[Platinum]]</f>
        <v>1344274</v>
      </c>
      <c r="D111" s="113">
        <f ca="1">TblProd[[#This Row],[Lumber]]</f>
        <v>53812</v>
      </c>
      <c r="E111" s="113">
        <f ca="1">TblProd[[#This Row],[Ore]]</f>
        <v>82190</v>
      </c>
      <c r="F111" s="113">
        <f ca="1">TblProd[[#This Row],[Gems]]</f>
        <v>0</v>
      </c>
      <c r="G111" s="200"/>
      <c r="H111" s="113">
        <f ca="1">TblMili[[#This Row],[Draftees]]</f>
        <v>2894</v>
      </c>
      <c r="I111" s="234">
        <f ca="1">TblPop[[#This Row],[Employment]]</f>
        <v>1</v>
      </c>
      <c r="J111" s="234">
        <f ca="1">TblPop[[#This Row],[Total]]/TblPop[[#This Row],[Net max]]</f>
        <v>1</v>
      </c>
      <c r="K111" s="373">
        <f>TblRezone[[#This Row],[Hour]]</f>
        <v>108</v>
      </c>
      <c r="L111" s="374">
        <f ca="1">TblImps[[#This Row],[Real time]]</f>
        <v>44409.208333333074</v>
      </c>
      <c r="M111" s="74">
        <f>IF(ISERROR(TblImps[[#This Row],[algorithm]]),0,TblImps[[#This Row],[algorithm]]*1)</f>
        <v>0</v>
      </c>
      <c r="N111" s="113">
        <f ca="1">TblImps[[#This Row],[Land]]</f>
        <v>600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44409.208333333074</v>
      </c>
      <c r="BZ111" s="387">
        <f ca="1">OFFSET(TblImps[[#This Row],[Servertime]],-1,0)+1/24</f>
        <v>44409.458333333074</v>
      </c>
      <c r="CA111" s="141"/>
      <c r="CB111" s="385"/>
      <c r="CC111" s="385"/>
      <c r="CD111" s="49" t="s">
        <v>225</v>
      </c>
    </row>
    <row r="112" spans="1:82" x14ac:dyDescent="0.2">
      <c r="A112" s="280">
        <f ca="1">TblConstr[[#This Row],[Land]]</f>
        <v>600</v>
      </c>
      <c r="B112" s="184"/>
      <c r="C112" s="113">
        <f ca="1">TblProd[[#This Row],[Platinum]]</f>
        <v>1370175</v>
      </c>
      <c r="D112" s="113">
        <f ca="1">TblProd[[#This Row],[Lumber]]</f>
        <v>54274</v>
      </c>
      <c r="E112" s="113">
        <f ca="1">TblProd[[#This Row],[Ore]]</f>
        <v>83990</v>
      </c>
      <c r="F112" s="113">
        <f ca="1">TblProd[[#This Row],[Gems]]</f>
        <v>0</v>
      </c>
      <c r="G112" s="200"/>
      <c r="H112" s="113">
        <f ca="1">TblMili[[#This Row],[Draftees]]</f>
        <v>2946</v>
      </c>
      <c r="I112" s="234">
        <f ca="1">TblPop[[#This Row],[Employment]]</f>
        <v>1</v>
      </c>
      <c r="J112" s="234">
        <f ca="1">TblPop[[#This Row],[Total]]/TblPop[[#This Row],[Net max]]</f>
        <v>1</v>
      </c>
      <c r="K112" s="373">
        <f>TblRezone[[#This Row],[Hour]]</f>
        <v>109</v>
      </c>
      <c r="L112" s="374">
        <f ca="1">TblImps[[#This Row],[Real time]]</f>
        <v>44409.249999999738</v>
      </c>
      <c r="M112" s="74">
        <f>IF(ISERROR(TblImps[[#This Row],[algorithm]]),0,TblImps[[#This Row],[algorithm]]*1)</f>
        <v>0</v>
      </c>
      <c r="N112" s="113">
        <f ca="1">TblImps[[#This Row],[Land]]</f>
        <v>600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44409.249999999738</v>
      </c>
      <c r="BZ112" s="387">
        <f ca="1">OFFSET(TblImps[[#This Row],[Servertime]],-1,0)+1/24</f>
        <v>44409.499999999738</v>
      </c>
      <c r="CA112" s="141"/>
      <c r="CB112" s="385"/>
      <c r="CC112" s="385"/>
      <c r="CD112" s="49" t="s">
        <v>226</v>
      </c>
    </row>
    <row r="113" spans="1:81" x14ac:dyDescent="0.2">
      <c r="A113" s="280">
        <f ca="1">TblConstr[[#This Row],[Land]]</f>
        <v>600</v>
      </c>
      <c r="B113" s="184"/>
      <c r="C113" s="113">
        <f ca="1">TblProd[[#This Row],[Platinum]]</f>
        <v>1395935</v>
      </c>
      <c r="D113" s="113">
        <f ca="1">TblProd[[#This Row],[Lumber]]</f>
        <v>54731</v>
      </c>
      <c r="E113" s="113">
        <f ca="1">TblProd[[#This Row],[Ore]]</f>
        <v>85790</v>
      </c>
      <c r="F113" s="113">
        <f ca="1">TblProd[[#This Row],[Gems]]</f>
        <v>0</v>
      </c>
      <c r="G113" s="200"/>
      <c r="H113" s="113">
        <f ca="1">TblMili[[#This Row],[Draftees]]</f>
        <v>2997</v>
      </c>
      <c r="I113" s="234">
        <f ca="1">TblPop[[#This Row],[Employment]]</f>
        <v>1</v>
      </c>
      <c r="J113" s="234">
        <f ca="1">TblPop[[#This Row],[Total]]/TblPop[[#This Row],[Net max]]</f>
        <v>1</v>
      </c>
      <c r="K113" s="373">
        <f>TblRezone[[#This Row],[Hour]]</f>
        <v>110</v>
      </c>
      <c r="L113" s="374">
        <f ca="1">TblImps[[#This Row],[Real time]]</f>
        <v>44409.291666666402</v>
      </c>
      <c r="M113" s="74">
        <f>IF(ISERROR(TblImps[[#This Row],[algorithm]]),0,TblImps[[#This Row],[algorithm]]*1)</f>
        <v>0</v>
      </c>
      <c r="N113" s="113">
        <f ca="1">TblImps[[#This Row],[Land]]</f>
        <v>600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44409.291666666402</v>
      </c>
      <c r="BZ113" s="387">
        <f ca="1">OFFSET(TblImps[[#This Row],[Servertime]],-1,0)+1/24</f>
        <v>44409.541666666402</v>
      </c>
      <c r="CA113" s="141"/>
      <c r="CB113" s="385"/>
      <c r="CC113" s="385"/>
    </row>
    <row r="114" spans="1:81" x14ac:dyDescent="0.2">
      <c r="A114" s="280">
        <f ca="1">TblConstr[[#This Row],[Land]]</f>
        <v>600</v>
      </c>
      <c r="B114" s="184"/>
      <c r="C114" s="113">
        <f ca="1">TblProd[[#This Row],[Platinum]]</f>
        <v>1421558</v>
      </c>
      <c r="D114" s="113">
        <f ca="1">TblProd[[#This Row],[Lumber]]</f>
        <v>55184</v>
      </c>
      <c r="E114" s="113">
        <f ca="1">TblProd[[#This Row],[Ore]]</f>
        <v>87590</v>
      </c>
      <c r="F114" s="113">
        <f ca="1">TblProd[[#This Row],[Gems]]</f>
        <v>0</v>
      </c>
      <c r="G114" s="200"/>
      <c r="H114" s="113">
        <f ca="1">TblMili[[#This Row],[Draftees]]</f>
        <v>3048</v>
      </c>
      <c r="I114" s="234">
        <f ca="1">TblPop[[#This Row],[Employment]]</f>
        <v>1</v>
      </c>
      <c r="J114" s="234">
        <f ca="1">TblPop[[#This Row],[Total]]/TblPop[[#This Row],[Net max]]</f>
        <v>1</v>
      </c>
      <c r="K114" s="373">
        <f>TblRezone[[#This Row],[Hour]]</f>
        <v>111</v>
      </c>
      <c r="L114" s="374">
        <f ca="1">TblImps[[#This Row],[Real time]]</f>
        <v>44409.333333333067</v>
      </c>
      <c r="M114" s="74">
        <f>IF(ISERROR(TblImps[[#This Row],[algorithm]]),0,TblImps[[#This Row],[algorithm]]*1)</f>
        <v>0</v>
      </c>
      <c r="N114" s="113">
        <f ca="1">TblImps[[#This Row],[Land]]</f>
        <v>600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44409.333333333067</v>
      </c>
      <c r="BZ114" s="387">
        <f ca="1">OFFSET(TblImps[[#This Row],[Servertime]],-1,0)+1/24</f>
        <v>44409.583333333067</v>
      </c>
      <c r="CA114" s="390"/>
      <c r="CB114" s="385"/>
      <c r="CC114" s="385"/>
    </row>
    <row r="115" spans="1:81" x14ac:dyDescent="0.2">
      <c r="A115" s="280">
        <f ca="1">TblConstr[[#This Row],[Land]]</f>
        <v>600</v>
      </c>
      <c r="B115" s="184"/>
      <c r="C115" s="113">
        <f ca="1">TblProd[[#This Row],[Platinum]]</f>
        <v>1447043</v>
      </c>
      <c r="D115" s="113">
        <f ca="1">TblProd[[#This Row],[Lumber]]</f>
        <v>55632</v>
      </c>
      <c r="E115" s="113">
        <f ca="1">TblProd[[#This Row],[Ore]]</f>
        <v>89390</v>
      </c>
      <c r="F115" s="113">
        <f ca="1">TblProd[[#This Row],[Gems]]</f>
        <v>0</v>
      </c>
      <c r="G115" s="200"/>
      <c r="H115" s="113">
        <f ca="1">TblMili[[#This Row],[Draftees]]</f>
        <v>3098</v>
      </c>
      <c r="I115" s="234">
        <f ca="1">TblPop[[#This Row],[Employment]]</f>
        <v>1</v>
      </c>
      <c r="J115" s="234">
        <f ca="1">TblPop[[#This Row],[Total]]/TblPop[[#This Row],[Net max]]</f>
        <v>1</v>
      </c>
      <c r="K115" s="373">
        <f>TblRezone[[#This Row],[Hour]]</f>
        <v>112</v>
      </c>
      <c r="L115" s="374">
        <f ca="1">TblImps[[#This Row],[Real time]]</f>
        <v>44409.374999999731</v>
      </c>
      <c r="M115" s="74">
        <f>IF(ISERROR(TblImps[[#This Row],[algorithm]]),0,TblImps[[#This Row],[algorithm]]*1)</f>
        <v>0</v>
      </c>
      <c r="N115" s="113">
        <f ca="1">TblImps[[#This Row],[Land]]</f>
        <v>600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44409.374999999731</v>
      </c>
      <c r="BZ115" s="387">
        <f ca="1">OFFSET(TblImps[[#This Row],[Servertime]],-1,0)+1/24</f>
        <v>44409.624999999731</v>
      </c>
      <c r="CA115" s="141"/>
      <c r="CB115" s="385"/>
      <c r="CC115" s="385"/>
    </row>
    <row r="116" spans="1:81" x14ac:dyDescent="0.2">
      <c r="A116" s="280">
        <f ca="1">TblConstr[[#This Row],[Land]]</f>
        <v>600</v>
      </c>
      <c r="B116" s="184"/>
      <c r="C116" s="113">
        <f ca="1">TblProd[[#This Row],[Platinum]]</f>
        <v>1472393</v>
      </c>
      <c r="D116" s="113">
        <f ca="1">TblProd[[#This Row],[Lumber]]</f>
        <v>56076</v>
      </c>
      <c r="E116" s="113">
        <f ca="1">TblProd[[#This Row],[Ore]]</f>
        <v>91190</v>
      </c>
      <c r="F116" s="113">
        <f ca="1">TblProd[[#This Row],[Gems]]</f>
        <v>0</v>
      </c>
      <c r="G116" s="200"/>
      <c r="H116" s="113">
        <f ca="1">TblMili[[#This Row],[Draftees]]</f>
        <v>3148</v>
      </c>
      <c r="I116" s="234">
        <f ca="1">TblPop[[#This Row],[Employment]]</f>
        <v>1</v>
      </c>
      <c r="J116" s="234">
        <f ca="1">TblPop[[#This Row],[Total]]/TblPop[[#This Row],[Net max]]</f>
        <v>1</v>
      </c>
      <c r="K116" s="373">
        <f>TblRezone[[#This Row],[Hour]]</f>
        <v>113</v>
      </c>
      <c r="L116" s="374">
        <f ca="1">TblImps[[#This Row],[Real time]]</f>
        <v>44409.416666666395</v>
      </c>
      <c r="M116" s="74">
        <f>IF(ISERROR(TblImps[[#This Row],[algorithm]]),0,TblImps[[#This Row],[algorithm]]*1)</f>
        <v>0</v>
      </c>
      <c r="N116" s="113">
        <f ca="1">TblImps[[#This Row],[Land]]</f>
        <v>600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44409.416666666395</v>
      </c>
      <c r="BZ116" s="387">
        <f ca="1">OFFSET(TblImps[[#This Row],[Servertime]],-1,0)+1/24</f>
        <v>44409.666666666395</v>
      </c>
      <c r="CA116" s="141"/>
      <c r="CB116" s="385"/>
      <c r="CC116" s="385"/>
    </row>
    <row r="117" spans="1:81" x14ac:dyDescent="0.2">
      <c r="A117" s="280">
        <f ca="1">TblConstr[[#This Row],[Land]]</f>
        <v>600</v>
      </c>
      <c r="B117" s="184"/>
      <c r="C117" s="113">
        <f ca="1">TblProd[[#This Row],[Platinum]]</f>
        <v>1497608</v>
      </c>
      <c r="D117" s="113">
        <f ca="1">TblProd[[#This Row],[Lumber]]</f>
        <v>56515</v>
      </c>
      <c r="E117" s="113">
        <f ca="1">TblProd[[#This Row],[Ore]]</f>
        <v>92990</v>
      </c>
      <c r="F117" s="113">
        <f ca="1">TblProd[[#This Row],[Gems]]</f>
        <v>0</v>
      </c>
      <c r="G117" s="200"/>
      <c r="H117" s="113">
        <f ca="1">TblMili[[#This Row],[Draftees]]</f>
        <v>3197</v>
      </c>
      <c r="I117" s="234">
        <f ca="1">TblPop[[#This Row],[Employment]]</f>
        <v>1</v>
      </c>
      <c r="J117" s="234">
        <f ca="1">TblPop[[#This Row],[Total]]/TblPop[[#This Row],[Net max]]</f>
        <v>1</v>
      </c>
      <c r="K117" s="373">
        <f>TblRezone[[#This Row],[Hour]]</f>
        <v>114</v>
      </c>
      <c r="L117" s="374">
        <f ca="1">TblImps[[#This Row],[Real time]]</f>
        <v>44409.458333333059</v>
      </c>
      <c r="M117" s="74">
        <f>IF(ISERROR(TblImps[[#This Row],[algorithm]]),0,TblImps[[#This Row],[algorithm]]*1)</f>
        <v>0</v>
      </c>
      <c r="N117" s="113">
        <f ca="1">TblImps[[#This Row],[Land]]</f>
        <v>600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44409.458333333059</v>
      </c>
      <c r="BZ117" s="387">
        <f ca="1">OFFSET(TblImps[[#This Row],[Servertime]],-1,0)+1/24</f>
        <v>44409.708333333059</v>
      </c>
      <c r="CA117" s="141"/>
      <c r="CB117" s="385"/>
      <c r="CC117" s="385"/>
    </row>
    <row r="118" spans="1:81" x14ac:dyDescent="0.2">
      <c r="A118" s="280">
        <f ca="1">TblConstr[[#This Row],[Land]]</f>
        <v>600</v>
      </c>
      <c r="B118" s="184"/>
      <c r="C118" s="113">
        <f ca="1">TblProd[[#This Row],[Platinum]]</f>
        <v>1522691</v>
      </c>
      <c r="D118" s="113">
        <f ca="1">TblProd[[#This Row],[Lumber]]</f>
        <v>56950</v>
      </c>
      <c r="E118" s="113">
        <f ca="1">TblProd[[#This Row],[Ore]]</f>
        <v>94790</v>
      </c>
      <c r="F118" s="113">
        <f ca="1">TblProd[[#This Row],[Gems]]</f>
        <v>0</v>
      </c>
      <c r="G118" s="200"/>
      <c r="H118" s="113">
        <f ca="1">TblMili[[#This Row],[Draftees]]</f>
        <v>3246</v>
      </c>
      <c r="I118" s="234">
        <f ca="1">TblPop[[#This Row],[Employment]]</f>
        <v>1</v>
      </c>
      <c r="J118" s="234">
        <f ca="1">TblPop[[#This Row],[Total]]/TblPop[[#This Row],[Net max]]</f>
        <v>1</v>
      </c>
      <c r="K118" s="373">
        <f>TblRezone[[#This Row],[Hour]]</f>
        <v>115</v>
      </c>
      <c r="L118" s="374">
        <f ca="1">TblImps[[#This Row],[Real time]]</f>
        <v>44409.499999999724</v>
      </c>
      <c r="M118" s="74">
        <f>IF(ISERROR(TblImps[[#This Row],[algorithm]]),0,TblImps[[#This Row],[algorithm]]*1)</f>
        <v>0</v>
      </c>
      <c r="N118" s="113">
        <f ca="1">TblImps[[#This Row],[Land]]</f>
        <v>600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44409.499999999724</v>
      </c>
      <c r="BZ118" s="387">
        <f ca="1">OFFSET(TblImps[[#This Row],[Servertime]],-1,0)+1/24</f>
        <v>44409.749999999724</v>
      </c>
      <c r="CA118" s="141"/>
      <c r="CB118" s="385"/>
      <c r="CC118" s="385"/>
    </row>
    <row r="119" spans="1:81" x14ac:dyDescent="0.2">
      <c r="A119" s="280">
        <f ca="1">TblConstr[[#This Row],[Land]]</f>
        <v>600</v>
      </c>
      <c r="B119" s="184"/>
      <c r="C119" s="113">
        <f ca="1">TblProd[[#This Row],[Platinum]]</f>
        <v>1547641</v>
      </c>
      <c r="D119" s="113">
        <f ca="1">TblProd[[#This Row],[Lumber]]</f>
        <v>57381</v>
      </c>
      <c r="E119" s="113">
        <f ca="1">TblProd[[#This Row],[Ore]]</f>
        <v>96590</v>
      </c>
      <c r="F119" s="113">
        <f ca="1">TblProd[[#This Row],[Gems]]</f>
        <v>0</v>
      </c>
      <c r="G119" s="200"/>
      <c r="H119" s="113">
        <f ca="1">TblMili[[#This Row],[Draftees]]</f>
        <v>3294</v>
      </c>
      <c r="I119" s="234">
        <f ca="1">TblPop[[#This Row],[Employment]]</f>
        <v>1</v>
      </c>
      <c r="J119" s="234">
        <f ca="1">TblPop[[#This Row],[Total]]/TblPop[[#This Row],[Net max]]</f>
        <v>1</v>
      </c>
      <c r="K119" s="373">
        <f>TblRezone[[#This Row],[Hour]]</f>
        <v>116</v>
      </c>
      <c r="L119" s="374">
        <f ca="1">TblImps[[#This Row],[Real time]]</f>
        <v>44409.541666666388</v>
      </c>
      <c r="M119" s="74">
        <f>IF(ISERROR(TblImps[[#This Row],[algorithm]]),0,TblImps[[#This Row],[algorithm]]*1)</f>
        <v>0</v>
      </c>
      <c r="N119" s="113">
        <f ca="1">TblImps[[#This Row],[Land]]</f>
        <v>600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44409.541666666388</v>
      </c>
      <c r="BZ119" s="387">
        <f ca="1">OFFSET(TblImps[[#This Row],[Servertime]],-1,0)+1/24</f>
        <v>44409.791666666388</v>
      </c>
      <c r="CA119" s="141"/>
      <c r="CB119" s="385"/>
      <c r="CC119" s="385"/>
    </row>
    <row r="120" spans="1:81" x14ac:dyDescent="0.2">
      <c r="A120" s="280">
        <f ca="1">TblConstr[[#This Row],[Land]]</f>
        <v>600</v>
      </c>
      <c r="B120" s="184"/>
      <c r="C120" s="113">
        <f ca="1">TblProd[[#This Row],[Platinum]]</f>
        <v>1572462</v>
      </c>
      <c r="D120" s="113">
        <f ca="1">TblProd[[#This Row],[Lumber]]</f>
        <v>57807</v>
      </c>
      <c r="E120" s="113">
        <f ca="1">TblProd[[#This Row],[Ore]]</f>
        <v>98390</v>
      </c>
      <c r="F120" s="113">
        <f ca="1">TblProd[[#This Row],[Gems]]</f>
        <v>0</v>
      </c>
      <c r="G120" s="200"/>
      <c r="H120" s="113">
        <f ca="1">TblMili[[#This Row],[Draftees]]</f>
        <v>3342</v>
      </c>
      <c r="I120" s="234">
        <f ca="1">TblPop[[#This Row],[Employment]]</f>
        <v>1</v>
      </c>
      <c r="J120" s="234">
        <f ca="1">TblPop[[#This Row],[Total]]/TblPop[[#This Row],[Net max]]</f>
        <v>1</v>
      </c>
      <c r="K120" s="373">
        <f>TblRezone[[#This Row],[Hour]]</f>
        <v>117</v>
      </c>
      <c r="L120" s="374">
        <f ca="1">TblImps[[#This Row],[Real time]]</f>
        <v>44409.583333333052</v>
      </c>
      <c r="M120" s="74">
        <f>IF(ISERROR(TblImps[[#This Row],[algorithm]]),0,TblImps[[#This Row],[algorithm]]*1)</f>
        <v>0</v>
      </c>
      <c r="N120" s="113">
        <f ca="1">TblImps[[#This Row],[Land]]</f>
        <v>600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44409.583333333052</v>
      </c>
      <c r="BZ120" s="387">
        <f ca="1">OFFSET(TblImps[[#This Row],[Servertime]],-1,0)+1/24</f>
        <v>44409.833333333052</v>
      </c>
      <c r="CA120" s="141"/>
      <c r="CB120" s="385"/>
      <c r="CC120" s="385"/>
    </row>
    <row r="121" spans="1:81" x14ac:dyDescent="0.2">
      <c r="A121" s="280">
        <f ca="1">TblConstr[[#This Row],[Land]]</f>
        <v>600</v>
      </c>
      <c r="B121" s="184"/>
      <c r="C121" s="113">
        <f ca="1">TblProd[[#This Row],[Platinum]]</f>
        <v>1597153</v>
      </c>
      <c r="D121" s="113">
        <f ca="1">TblProd[[#This Row],[Lumber]]</f>
        <v>58229</v>
      </c>
      <c r="E121" s="113">
        <f ca="1">TblProd[[#This Row],[Ore]]</f>
        <v>100190</v>
      </c>
      <c r="F121" s="113">
        <f ca="1">TblProd[[#This Row],[Gems]]</f>
        <v>0</v>
      </c>
      <c r="G121" s="200"/>
      <c r="H121" s="113">
        <f ca="1">TblMili[[#This Row],[Draftees]]</f>
        <v>3389</v>
      </c>
      <c r="I121" s="234">
        <f ca="1">TblPop[[#This Row],[Employment]]</f>
        <v>1</v>
      </c>
      <c r="J121" s="234">
        <f ca="1">TblPop[[#This Row],[Total]]/TblPop[[#This Row],[Net max]]</f>
        <v>1</v>
      </c>
      <c r="K121" s="373">
        <f>TblRezone[[#This Row],[Hour]]</f>
        <v>118</v>
      </c>
      <c r="L121" s="374">
        <f ca="1">TblImps[[#This Row],[Real time]]</f>
        <v>44409.624999999716</v>
      </c>
      <c r="M121" s="74">
        <f>IF(ISERROR(TblImps[[#This Row],[algorithm]]),0,TblImps[[#This Row],[algorithm]]*1)</f>
        <v>0</v>
      </c>
      <c r="N121" s="113">
        <f ca="1">TblImps[[#This Row],[Land]]</f>
        <v>600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44409.624999999716</v>
      </c>
      <c r="BZ121" s="387">
        <f ca="1">OFFSET(TblImps[[#This Row],[Servertime]],-1,0)+1/24</f>
        <v>44409.874999999716</v>
      </c>
      <c r="CA121" s="141"/>
      <c r="CB121" s="385"/>
      <c r="CC121" s="385"/>
    </row>
    <row r="122" spans="1:81" x14ac:dyDescent="0.2">
      <c r="A122" s="280">
        <f ca="1">TblConstr[[#This Row],[Land]]</f>
        <v>600</v>
      </c>
      <c r="B122" s="184"/>
      <c r="C122" s="113">
        <f ca="1">TblProd[[#This Row],[Platinum]]</f>
        <v>1621717</v>
      </c>
      <c r="D122" s="113">
        <f ca="1">TblProd[[#This Row],[Lumber]]</f>
        <v>58647</v>
      </c>
      <c r="E122" s="113">
        <f ca="1">TblProd[[#This Row],[Ore]]</f>
        <v>101990</v>
      </c>
      <c r="F122" s="113">
        <f ca="1">TblProd[[#This Row],[Gems]]</f>
        <v>0</v>
      </c>
      <c r="G122" s="200"/>
      <c r="H122" s="113">
        <f ca="1">TblMili[[#This Row],[Draftees]]</f>
        <v>3436</v>
      </c>
      <c r="I122" s="234">
        <f ca="1">TblPop[[#This Row],[Employment]]</f>
        <v>1</v>
      </c>
      <c r="J122" s="234">
        <f ca="1">TblPop[[#This Row],[Total]]/TblPop[[#This Row],[Net max]]</f>
        <v>1</v>
      </c>
      <c r="K122" s="373">
        <f>TblRezone[[#This Row],[Hour]]</f>
        <v>119</v>
      </c>
      <c r="L122" s="374">
        <f ca="1">TblImps[[#This Row],[Real time]]</f>
        <v>44409.66666666638</v>
      </c>
      <c r="M122" s="74">
        <f>IF(ISERROR(TblImps[[#This Row],[algorithm]]),0,TblImps[[#This Row],[algorithm]]*1)</f>
        <v>0</v>
      </c>
      <c r="N122" s="113">
        <f ca="1">TblImps[[#This Row],[Land]]</f>
        <v>600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44409.66666666638</v>
      </c>
      <c r="BZ122" s="387">
        <f ca="1">OFFSET(TblImps[[#This Row],[Servertime]],-1,0)+1/24</f>
        <v>44409.91666666638</v>
      </c>
      <c r="CA122" s="141"/>
      <c r="CB122" s="385"/>
      <c r="CC122" s="385"/>
    </row>
    <row r="123" spans="1:81" x14ac:dyDescent="0.2">
      <c r="A123" s="280">
        <f ca="1">TblConstr[[#This Row],[Land]]</f>
        <v>600</v>
      </c>
      <c r="B123" s="184"/>
      <c r="C123" s="113">
        <f ca="1">TblProd[[#This Row],[Platinum]]</f>
        <v>1646154</v>
      </c>
      <c r="D123" s="113">
        <f ca="1">TblProd[[#This Row],[Lumber]]</f>
        <v>59061</v>
      </c>
      <c r="E123" s="113">
        <f ca="1">TblProd[[#This Row],[Ore]]</f>
        <v>103790</v>
      </c>
      <c r="F123" s="113">
        <f ca="1">TblProd[[#This Row],[Gems]]</f>
        <v>0</v>
      </c>
      <c r="G123" s="200"/>
      <c r="H123" s="113">
        <f ca="1">TblMili[[#This Row],[Draftees]]</f>
        <v>3483</v>
      </c>
      <c r="I123" s="234">
        <f ca="1">TblPop[[#This Row],[Employment]]</f>
        <v>1</v>
      </c>
      <c r="J123" s="234">
        <f ca="1">TblPop[[#This Row],[Total]]/TblPop[[#This Row],[Net max]]</f>
        <v>1</v>
      </c>
      <c r="K123" s="373">
        <f>TblRezone[[#This Row],[Hour]]</f>
        <v>120</v>
      </c>
      <c r="L123" s="374">
        <f ca="1">TblImps[[#This Row],[Real time]]</f>
        <v>44409.708333333045</v>
      </c>
      <c r="M123" s="74">
        <f>IF(ISERROR(TblImps[[#This Row],[algorithm]]),0,TblImps[[#This Row],[algorithm]]*1)</f>
        <v>0</v>
      </c>
      <c r="N123" s="113">
        <f ca="1">TblImps[[#This Row],[Land]]</f>
        <v>600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44409.708333333045</v>
      </c>
      <c r="BZ123" s="387">
        <f ca="1">OFFSET(TblImps[[#This Row],[Servertime]],-1,0)+1/24</f>
        <v>44409.958333333045</v>
      </c>
      <c r="CA123" s="141"/>
      <c r="CB123" s="385"/>
      <c r="CC123" s="385"/>
    </row>
    <row r="124" spans="1:81" x14ac:dyDescent="0.2">
      <c r="A124" s="280">
        <f ca="1">TblConstr[[#This Row],[Land]]</f>
        <v>600</v>
      </c>
      <c r="B124" s="184"/>
      <c r="C124" s="113">
        <f ca="1">TblProd[[#This Row],[Platinum]]</f>
        <v>1670464</v>
      </c>
      <c r="D124" s="113">
        <f ca="1">TblProd[[#This Row],[Lumber]]</f>
        <v>59470</v>
      </c>
      <c r="E124" s="113">
        <f ca="1">TblProd[[#This Row],[Ore]]</f>
        <v>105590</v>
      </c>
      <c r="F124" s="113">
        <f ca="1">TblProd[[#This Row],[Gems]]</f>
        <v>0</v>
      </c>
      <c r="G124" s="200"/>
      <c r="H124" s="113">
        <f ca="1">TblMili[[#This Row],[Draftees]]</f>
        <v>3529</v>
      </c>
      <c r="I124" s="234">
        <f ca="1">TblPop[[#This Row],[Employment]]</f>
        <v>1</v>
      </c>
      <c r="J124" s="234">
        <f ca="1">TblPop[[#This Row],[Total]]/TblPop[[#This Row],[Net max]]</f>
        <v>1</v>
      </c>
      <c r="K124" s="373">
        <f>TblRezone[[#This Row],[Hour]]</f>
        <v>121</v>
      </c>
      <c r="L124" s="374">
        <f ca="1">TblImps[[#This Row],[Real time]]</f>
        <v>44409.749999999709</v>
      </c>
      <c r="M124" s="74">
        <f>IF(ISERROR(TblImps[[#This Row],[algorithm]]),0,TblImps[[#This Row],[algorithm]]*1)</f>
        <v>0</v>
      </c>
      <c r="N124" s="113">
        <f ca="1">TblImps[[#This Row],[Land]]</f>
        <v>600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44409.749999999709</v>
      </c>
      <c r="BZ124" s="387">
        <f ca="1">OFFSET(TblImps[[#This Row],[Servertime]],-1,0)+1/24</f>
        <v>44409.999999999709</v>
      </c>
      <c r="CA124" s="141"/>
      <c r="CB124" s="385"/>
      <c r="CC124" s="385"/>
    </row>
    <row r="125" spans="1:81" x14ac:dyDescent="0.2">
      <c r="A125" s="280">
        <f ca="1">TblConstr[[#This Row],[Land]]</f>
        <v>600</v>
      </c>
      <c r="B125" s="184"/>
      <c r="C125" s="113">
        <f ca="1">TblProd[[#This Row],[Platinum]]</f>
        <v>1694650</v>
      </c>
      <c r="D125" s="113">
        <f ca="1">TblProd[[#This Row],[Lumber]]</f>
        <v>59875</v>
      </c>
      <c r="E125" s="113">
        <f ca="1">TblProd[[#This Row],[Ore]]</f>
        <v>107390</v>
      </c>
      <c r="F125" s="113">
        <f ca="1">TblProd[[#This Row],[Gems]]</f>
        <v>0</v>
      </c>
      <c r="G125" s="200"/>
      <c r="H125" s="113">
        <f ca="1">TblMili[[#This Row],[Draftees]]</f>
        <v>3575</v>
      </c>
      <c r="I125" s="234">
        <f ca="1">TblPop[[#This Row],[Employment]]</f>
        <v>1</v>
      </c>
      <c r="J125" s="234">
        <f ca="1">TblPop[[#This Row],[Total]]/TblPop[[#This Row],[Net max]]</f>
        <v>1</v>
      </c>
      <c r="K125" s="373">
        <f>TblRezone[[#This Row],[Hour]]</f>
        <v>122</v>
      </c>
      <c r="L125" s="374">
        <f ca="1">TblImps[[#This Row],[Real time]]</f>
        <v>44409.791666666373</v>
      </c>
      <c r="M125" s="74">
        <f>IF(ISERROR(TblImps[[#This Row],[algorithm]]),0,TblImps[[#This Row],[algorithm]]*1)</f>
        <v>0</v>
      </c>
      <c r="N125" s="113">
        <f ca="1">TblImps[[#This Row],[Land]]</f>
        <v>600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44409.791666666373</v>
      </c>
      <c r="BZ125" s="387">
        <f ca="1">OFFSET(TblImps[[#This Row],[Servertime]],-1,0)+1/24</f>
        <v>44410.041666666373</v>
      </c>
      <c r="CA125" s="141"/>
      <c r="CB125" s="385"/>
      <c r="CC125" s="385"/>
    </row>
    <row r="126" spans="1:81" x14ac:dyDescent="0.2">
      <c r="A126" s="280">
        <f ca="1">TblConstr[[#This Row],[Land]]</f>
        <v>600</v>
      </c>
      <c r="B126" s="184"/>
      <c r="C126" s="113">
        <f ca="1">TblProd[[#This Row],[Platinum]]</f>
        <v>1718712</v>
      </c>
      <c r="D126" s="113">
        <f ca="1">TblProd[[#This Row],[Lumber]]</f>
        <v>60276</v>
      </c>
      <c r="E126" s="113">
        <f ca="1">TblProd[[#This Row],[Ore]]</f>
        <v>109190</v>
      </c>
      <c r="F126" s="113">
        <f ca="1">TblProd[[#This Row],[Gems]]</f>
        <v>0</v>
      </c>
      <c r="G126" s="200"/>
      <c r="H126" s="113">
        <f ca="1">TblMili[[#This Row],[Draftees]]</f>
        <v>3620</v>
      </c>
      <c r="I126" s="234">
        <f ca="1">TblPop[[#This Row],[Employment]]</f>
        <v>1</v>
      </c>
      <c r="J126" s="234">
        <f ca="1">TblPop[[#This Row],[Total]]/TblPop[[#This Row],[Net max]]</f>
        <v>1</v>
      </c>
      <c r="K126" s="373">
        <f>TblRezone[[#This Row],[Hour]]</f>
        <v>123</v>
      </c>
      <c r="L126" s="374">
        <f ca="1">TblImps[[#This Row],[Real time]]</f>
        <v>44409.833333333037</v>
      </c>
      <c r="M126" s="74">
        <f>IF(ISERROR(TblImps[[#This Row],[algorithm]]),0,TblImps[[#This Row],[algorithm]]*1)</f>
        <v>0</v>
      </c>
      <c r="N126" s="113">
        <f ca="1">TblImps[[#This Row],[Land]]</f>
        <v>600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44409.833333333037</v>
      </c>
      <c r="BZ126" s="387">
        <f ca="1">OFFSET(TblImps[[#This Row],[Servertime]],-1,0)+1/24</f>
        <v>44410.083333333037</v>
      </c>
      <c r="CA126" s="141"/>
      <c r="CB126" s="385"/>
      <c r="CC126" s="385"/>
    </row>
    <row r="127" spans="1:81" x14ac:dyDescent="0.2">
      <c r="A127" s="280">
        <f ca="1">TblConstr[[#This Row],[Land]]</f>
        <v>600</v>
      </c>
      <c r="B127" s="184"/>
      <c r="C127" s="113">
        <f ca="1">TblProd[[#This Row],[Platinum]]</f>
        <v>1742652</v>
      </c>
      <c r="D127" s="113">
        <f ca="1">TblProd[[#This Row],[Lumber]]</f>
        <v>60673</v>
      </c>
      <c r="E127" s="113">
        <f ca="1">TblProd[[#This Row],[Ore]]</f>
        <v>110990</v>
      </c>
      <c r="F127" s="113">
        <f ca="1">TblProd[[#This Row],[Gems]]</f>
        <v>0</v>
      </c>
      <c r="G127" s="200"/>
      <c r="H127" s="113">
        <f ca="1">TblMili[[#This Row],[Draftees]]</f>
        <v>3665</v>
      </c>
      <c r="I127" s="234">
        <f ca="1">TblPop[[#This Row],[Employment]]</f>
        <v>1</v>
      </c>
      <c r="J127" s="234">
        <f ca="1">TblPop[[#This Row],[Total]]/TblPop[[#This Row],[Net max]]</f>
        <v>1</v>
      </c>
      <c r="K127" s="373">
        <f>TblRezone[[#This Row],[Hour]]</f>
        <v>124</v>
      </c>
      <c r="L127" s="374">
        <f ca="1">TblImps[[#This Row],[Real time]]</f>
        <v>44409.874999999702</v>
      </c>
      <c r="M127" s="74">
        <f>IF(ISERROR(TblImps[[#This Row],[algorithm]]),0,TblImps[[#This Row],[algorithm]]*1)</f>
        <v>0</v>
      </c>
      <c r="N127" s="113">
        <f ca="1">TblImps[[#This Row],[Land]]</f>
        <v>600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44409.874999999702</v>
      </c>
      <c r="BZ127" s="387">
        <f ca="1">OFFSET(TblImps[[#This Row],[Servertime]],-1,0)+1/24</f>
        <v>44410.124999999702</v>
      </c>
      <c r="CA127" s="141"/>
      <c r="CB127" s="385"/>
      <c r="CC127" s="385"/>
    </row>
    <row r="128" spans="1:81" x14ac:dyDescent="0.2">
      <c r="A128" s="280">
        <f ca="1">TblConstr[[#This Row],[Land]]</f>
        <v>600</v>
      </c>
      <c r="B128" s="184"/>
      <c r="C128" s="113">
        <f ca="1">TblProd[[#This Row],[Platinum]]</f>
        <v>1766471</v>
      </c>
      <c r="D128" s="113">
        <f ca="1">TblProd[[#This Row],[Lumber]]</f>
        <v>61066</v>
      </c>
      <c r="E128" s="113">
        <f ca="1">TblProd[[#This Row],[Ore]]</f>
        <v>112790</v>
      </c>
      <c r="F128" s="113">
        <f ca="1">TblProd[[#This Row],[Gems]]</f>
        <v>0</v>
      </c>
      <c r="G128" s="200"/>
      <c r="H128" s="113">
        <f ca="1">TblMili[[#This Row],[Draftees]]</f>
        <v>3709</v>
      </c>
      <c r="I128" s="234">
        <f ca="1">TblPop[[#This Row],[Employment]]</f>
        <v>1</v>
      </c>
      <c r="J128" s="234">
        <f ca="1">TblPop[[#This Row],[Total]]/TblPop[[#This Row],[Net max]]</f>
        <v>1</v>
      </c>
      <c r="K128" s="373">
        <f>TblRezone[[#This Row],[Hour]]</f>
        <v>125</v>
      </c>
      <c r="L128" s="374">
        <f ca="1">TblImps[[#This Row],[Real time]]</f>
        <v>44409.916666666366</v>
      </c>
      <c r="M128" s="74">
        <f>IF(ISERROR(TblImps[[#This Row],[algorithm]]),0,TblImps[[#This Row],[algorithm]]*1)</f>
        <v>0</v>
      </c>
      <c r="N128" s="113">
        <f ca="1">TblImps[[#This Row],[Land]]</f>
        <v>600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44409.916666666366</v>
      </c>
      <c r="BZ128" s="387">
        <f ca="1">OFFSET(TblImps[[#This Row],[Servertime]],-1,0)+1/24</f>
        <v>44410.166666666366</v>
      </c>
      <c r="CA128" s="141"/>
      <c r="CB128" s="385"/>
      <c r="CC128" s="385"/>
    </row>
    <row r="129" spans="1:81" x14ac:dyDescent="0.2">
      <c r="A129" s="280">
        <f ca="1">TblConstr[[#This Row],[Land]]</f>
        <v>600</v>
      </c>
      <c r="B129" s="184"/>
      <c r="C129" s="113">
        <f ca="1">TblProd[[#This Row],[Platinum]]</f>
        <v>1790171</v>
      </c>
      <c r="D129" s="113">
        <f ca="1">TblProd[[#This Row],[Lumber]]</f>
        <v>61455</v>
      </c>
      <c r="E129" s="113">
        <f ca="1">TblProd[[#This Row],[Ore]]</f>
        <v>114590</v>
      </c>
      <c r="F129" s="113">
        <f ca="1">TblProd[[#This Row],[Gems]]</f>
        <v>0</v>
      </c>
      <c r="G129" s="200"/>
      <c r="H129" s="113">
        <f ca="1">TblMili[[#This Row],[Draftees]]</f>
        <v>3753</v>
      </c>
      <c r="I129" s="234">
        <f ca="1">TblPop[[#This Row],[Employment]]</f>
        <v>1</v>
      </c>
      <c r="J129" s="234">
        <f ca="1">TblPop[[#This Row],[Total]]/TblPop[[#This Row],[Net max]]</f>
        <v>1</v>
      </c>
      <c r="K129" s="373">
        <f>TblRezone[[#This Row],[Hour]]</f>
        <v>126</v>
      </c>
      <c r="L129" s="374">
        <f ca="1">TblImps[[#This Row],[Real time]]</f>
        <v>44409.95833333303</v>
      </c>
      <c r="M129" s="74">
        <f>IF(ISERROR(TblImps[[#This Row],[algorithm]]),0,TblImps[[#This Row],[algorithm]]*1)</f>
        <v>0</v>
      </c>
      <c r="N129" s="113">
        <f ca="1">TblImps[[#This Row],[Land]]</f>
        <v>600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44409.95833333303</v>
      </c>
      <c r="BZ129" s="387">
        <f ca="1">OFFSET(TblImps[[#This Row],[Servertime]],-1,0)+1/24</f>
        <v>44410.20833333303</v>
      </c>
      <c r="CA129" s="141"/>
      <c r="CB129" s="385"/>
      <c r="CC129" s="385"/>
    </row>
    <row r="130" spans="1:81" x14ac:dyDescent="0.2">
      <c r="A130" s="280">
        <f ca="1">TblConstr[[#This Row],[Land]]</f>
        <v>600</v>
      </c>
      <c r="B130" s="184"/>
      <c r="C130" s="113">
        <f ca="1">TblProd[[#This Row],[Platinum]]</f>
        <v>1813752</v>
      </c>
      <c r="D130" s="113">
        <f ca="1">TblProd[[#This Row],[Lumber]]</f>
        <v>61840</v>
      </c>
      <c r="E130" s="113">
        <f ca="1">TblProd[[#This Row],[Ore]]</f>
        <v>116390</v>
      </c>
      <c r="F130" s="113">
        <f ca="1">TblProd[[#This Row],[Gems]]</f>
        <v>0</v>
      </c>
      <c r="G130" s="200"/>
      <c r="H130" s="113">
        <f ca="1">TblMili[[#This Row],[Draftees]]</f>
        <v>3796</v>
      </c>
      <c r="I130" s="234">
        <f ca="1">TblPop[[#This Row],[Employment]]</f>
        <v>1</v>
      </c>
      <c r="J130" s="234">
        <f ca="1">TblPop[[#This Row],[Total]]/TblPop[[#This Row],[Net max]]</f>
        <v>1</v>
      </c>
      <c r="K130" s="373">
        <f>TblRezone[[#This Row],[Hour]]</f>
        <v>127</v>
      </c>
      <c r="L130" s="374">
        <f ca="1">TblImps[[#This Row],[Real time]]</f>
        <v>44409.999999999694</v>
      </c>
      <c r="M130" s="74">
        <f>IF(ISERROR(TblImps[[#This Row],[algorithm]]),0,TblImps[[#This Row],[algorithm]]*1)</f>
        <v>0</v>
      </c>
      <c r="N130" s="113">
        <f ca="1">TblImps[[#This Row],[Land]]</f>
        <v>600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44409.999999999694</v>
      </c>
      <c r="BZ130" s="387">
        <f ca="1">OFFSET(TblImps[[#This Row],[Servertime]],-1,0)+1/24</f>
        <v>44410.249999999694</v>
      </c>
      <c r="CA130" s="141"/>
      <c r="CB130" s="385"/>
      <c r="CC130" s="385"/>
    </row>
    <row r="131" spans="1:81" x14ac:dyDescent="0.2">
      <c r="A131" s="280">
        <f ca="1">TblConstr[[#This Row],[Land]]</f>
        <v>600</v>
      </c>
      <c r="B131" s="184"/>
      <c r="C131" s="113">
        <f ca="1">TblProd[[#This Row],[Platinum]]</f>
        <v>1837217</v>
      </c>
      <c r="D131" s="113">
        <f ca="1">TblProd[[#This Row],[Lumber]]</f>
        <v>62222</v>
      </c>
      <c r="E131" s="113">
        <f ca="1">TblProd[[#This Row],[Ore]]</f>
        <v>118190</v>
      </c>
      <c r="F131" s="113">
        <f ca="1">TblProd[[#This Row],[Gems]]</f>
        <v>0</v>
      </c>
      <c r="G131" s="200"/>
      <c r="H131" s="113">
        <f ca="1">TblMili[[#This Row],[Draftees]]</f>
        <v>3839</v>
      </c>
      <c r="I131" s="234">
        <f ca="1">TblPop[[#This Row],[Employment]]</f>
        <v>1</v>
      </c>
      <c r="J131" s="234">
        <f ca="1">TblPop[[#This Row],[Total]]/TblPop[[#This Row],[Net max]]</f>
        <v>1</v>
      </c>
      <c r="K131" s="373">
        <f>TblRezone[[#This Row],[Hour]]</f>
        <v>128</v>
      </c>
      <c r="L131" s="374">
        <f ca="1">TblImps[[#This Row],[Real time]]</f>
        <v>44410.041666666359</v>
      </c>
      <c r="M131" s="74">
        <f>IF(ISERROR(TblImps[[#This Row],[algorithm]]),0,TblImps[[#This Row],[algorithm]]*1)</f>
        <v>0</v>
      </c>
      <c r="N131" s="113">
        <f ca="1">TblImps[[#This Row],[Land]]</f>
        <v>600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44410.041666666359</v>
      </c>
      <c r="BZ131" s="387">
        <f ca="1">OFFSET(TblImps[[#This Row],[Servertime]],-1,0)+1/24</f>
        <v>44410.291666666359</v>
      </c>
      <c r="CA131" s="141"/>
      <c r="CB131" s="385"/>
      <c r="CC131" s="385"/>
    </row>
    <row r="132" spans="1:81" x14ac:dyDescent="0.2">
      <c r="A132" s="280">
        <f ca="1">TblConstr[[#This Row],[Land]]</f>
        <v>600</v>
      </c>
      <c r="B132" s="184"/>
      <c r="C132" s="113">
        <f ca="1">TblProd[[#This Row],[Platinum]]</f>
        <v>1860566</v>
      </c>
      <c r="D132" s="113">
        <f ca="1">TblProd[[#This Row],[Lumber]]</f>
        <v>62600</v>
      </c>
      <c r="E132" s="113">
        <f ca="1">TblProd[[#This Row],[Ore]]</f>
        <v>119990</v>
      </c>
      <c r="F132" s="113">
        <f ca="1">TblProd[[#This Row],[Gems]]</f>
        <v>0</v>
      </c>
      <c r="G132" s="200"/>
      <c r="H132" s="113">
        <f ca="1">TblMili[[#This Row],[Draftees]]</f>
        <v>3881</v>
      </c>
      <c r="I132" s="234">
        <f ca="1">TblPop[[#This Row],[Employment]]</f>
        <v>1</v>
      </c>
      <c r="J132" s="234">
        <f ca="1">TblPop[[#This Row],[Total]]/TblPop[[#This Row],[Net max]]</f>
        <v>1</v>
      </c>
      <c r="K132" s="373">
        <f>TblRezone[[#This Row],[Hour]]</f>
        <v>129</v>
      </c>
      <c r="L132" s="374">
        <f ca="1">TblImps[[#This Row],[Real time]]</f>
        <v>44410.083333333023</v>
      </c>
      <c r="M132" s="74">
        <f>IF(ISERROR(TblImps[[#This Row],[algorithm]]),0,TblImps[[#This Row],[algorithm]]*1)</f>
        <v>0</v>
      </c>
      <c r="N132" s="113">
        <f ca="1">TblImps[[#This Row],[Land]]</f>
        <v>600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44410.083333333023</v>
      </c>
      <c r="BZ132" s="387">
        <f ca="1">OFFSET(TblImps[[#This Row],[Servertime]],-1,0)+1/24</f>
        <v>44410.333333333023</v>
      </c>
      <c r="CA132" s="141"/>
      <c r="CB132" s="385"/>
      <c r="CC132" s="385"/>
    </row>
    <row r="133" spans="1:81" x14ac:dyDescent="0.2">
      <c r="A133" s="280">
        <f ca="1">TblConstr[[#This Row],[Land]]</f>
        <v>600</v>
      </c>
      <c r="B133" s="184"/>
      <c r="C133" s="113">
        <f ca="1">TblProd[[#This Row],[Platinum]]</f>
        <v>1883802</v>
      </c>
      <c r="D133" s="113">
        <f ca="1">TblProd[[#This Row],[Lumber]]</f>
        <v>62974</v>
      </c>
      <c r="E133" s="113">
        <f ca="1">TblProd[[#This Row],[Ore]]</f>
        <v>121790</v>
      </c>
      <c r="F133" s="113">
        <f ca="1">TblProd[[#This Row],[Gems]]</f>
        <v>0</v>
      </c>
      <c r="G133" s="200"/>
      <c r="H133" s="113">
        <f ca="1">TblMili[[#This Row],[Draftees]]</f>
        <v>3923</v>
      </c>
      <c r="I133" s="234">
        <f ca="1">TblPop[[#This Row],[Employment]]</f>
        <v>1</v>
      </c>
      <c r="J133" s="234">
        <f ca="1">TblPop[[#This Row],[Total]]/TblPop[[#This Row],[Net max]]</f>
        <v>1</v>
      </c>
      <c r="K133" s="373">
        <f>TblRezone[[#This Row],[Hour]]</f>
        <v>130</v>
      </c>
      <c r="L133" s="374">
        <f ca="1">TblImps[[#This Row],[Real time]]</f>
        <v>44410.124999999687</v>
      </c>
      <c r="M133" s="74">
        <f>IF(ISERROR(TblImps[[#This Row],[algorithm]]),0,TblImps[[#This Row],[algorithm]]*1)</f>
        <v>0</v>
      </c>
      <c r="N133" s="113">
        <f ca="1">TblImps[[#This Row],[Land]]</f>
        <v>600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44410.124999999687</v>
      </c>
      <c r="BZ133" s="387">
        <f ca="1">OFFSET(TblImps[[#This Row],[Servertime]],-1,0)+1/24</f>
        <v>44410.374999999687</v>
      </c>
      <c r="CA133" s="141"/>
      <c r="CB133" s="385"/>
      <c r="CC133" s="385"/>
    </row>
    <row r="134" spans="1:81" x14ac:dyDescent="0.2">
      <c r="A134" s="280">
        <f ca="1">TblConstr[[#This Row],[Land]]</f>
        <v>600</v>
      </c>
      <c r="B134" s="184"/>
      <c r="C134" s="113">
        <f ca="1">TblProd[[#This Row],[Platinum]]</f>
        <v>1906924</v>
      </c>
      <c r="D134" s="113">
        <f ca="1">TblProd[[#This Row],[Lumber]]</f>
        <v>63344</v>
      </c>
      <c r="E134" s="113">
        <f ca="1">TblProd[[#This Row],[Ore]]</f>
        <v>123590</v>
      </c>
      <c r="F134" s="113">
        <f ca="1">TblProd[[#This Row],[Gems]]</f>
        <v>0</v>
      </c>
      <c r="G134" s="200"/>
      <c r="H134" s="113">
        <f ca="1">TblMili[[#This Row],[Draftees]]</f>
        <v>3965</v>
      </c>
      <c r="I134" s="234">
        <f ca="1">TblPop[[#This Row],[Employment]]</f>
        <v>1</v>
      </c>
      <c r="J134" s="234">
        <f ca="1">TblPop[[#This Row],[Total]]/TblPop[[#This Row],[Net max]]</f>
        <v>1</v>
      </c>
      <c r="K134" s="373">
        <f>TblRezone[[#This Row],[Hour]]</f>
        <v>131</v>
      </c>
      <c r="L134" s="374">
        <f ca="1">TblImps[[#This Row],[Real time]]</f>
        <v>44410.166666666351</v>
      </c>
      <c r="M134" s="74">
        <f>IF(ISERROR(TblImps[[#This Row],[algorithm]]),0,TblImps[[#This Row],[algorithm]]*1)</f>
        <v>0</v>
      </c>
      <c r="N134" s="113">
        <f ca="1">TblImps[[#This Row],[Land]]</f>
        <v>600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44410.166666666351</v>
      </c>
      <c r="BZ134" s="387">
        <f ca="1">OFFSET(TblImps[[#This Row],[Servertime]],-1,0)+1/24</f>
        <v>44410.416666666351</v>
      </c>
      <c r="CA134" s="141"/>
      <c r="CB134" s="385"/>
      <c r="CC134" s="385"/>
    </row>
    <row r="135" spans="1:81" x14ac:dyDescent="0.2">
      <c r="A135" s="280">
        <f ca="1">TblConstr[[#This Row],[Land]]</f>
        <v>600</v>
      </c>
      <c r="B135" s="184"/>
      <c r="C135" s="113">
        <f ca="1">TblProd[[#This Row],[Platinum]]</f>
        <v>1929933</v>
      </c>
      <c r="D135" s="113">
        <f ca="1">TblProd[[#This Row],[Lumber]]</f>
        <v>63711</v>
      </c>
      <c r="E135" s="113">
        <f ca="1">TblProd[[#This Row],[Ore]]</f>
        <v>125390</v>
      </c>
      <c r="F135" s="113">
        <f ca="1">TblProd[[#This Row],[Gems]]</f>
        <v>0</v>
      </c>
      <c r="G135" s="200"/>
      <c r="H135" s="113">
        <f ca="1">TblMili[[#This Row],[Draftees]]</f>
        <v>4006</v>
      </c>
      <c r="I135" s="234">
        <f ca="1">TblPop[[#This Row],[Employment]]</f>
        <v>1</v>
      </c>
      <c r="J135" s="234">
        <f ca="1">TblPop[[#This Row],[Total]]/TblPop[[#This Row],[Net max]]</f>
        <v>1</v>
      </c>
      <c r="K135" s="373">
        <f>TblRezone[[#This Row],[Hour]]</f>
        <v>132</v>
      </c>
      <c r="L135" s="374">
        <f ca="1">TblImps[[#This Row],[Real time]]</f>
        <v>44410.208333333016</v>
      </c>
      <c r="M135" s="74">
        <f>IF(ISERROR(TblImps[[#This Row],[algorithm]]),0,TblImps[[#This Row],[algorithm]]*1)</f>
        <v>0</v>
      </c>
      <c r="N135" s="113">
        <f ca="1">TblImps[[#This Row],[Land]]</f>
        <v>600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44410.208333333016</v>
      </c>
      <c r="BZ135" s="387">
        <f ca="1">OFFSET(TblImps[[#This Row],[Servertime]],-1,0)+1/24</f>
        <v>44410.458333333016</v>
      </c>
      <c r="CA135" s="141"/>
      <c r="CB135" s="385"/>
      <c r="CC135" s="385"/>
    </row>
    <row r="136" spans="1:81" x14ac:dyDescent="0.2">
      <c r="A136" s="280">
        <f ca="1">TblConstr[[#This Row],[Land]]</f>
        <v>600</v>
      </c>
      <c r="B136" s="184"/>
      <c r="C136" s="113">
        <f ca="1">TblProd[[#This Row],[Platinum]]</f>
        <v>1952831</v>
      </c>
      <c r="D136" s="113">
        <f ca="1">TblProd[[#This Row],[Lumber]]</f>
        <v>64074</v>
      </c>
      <c r="E136" s="113">
        <f ca="1">TblProd[[#This Row],[Ore]]</f>
        <v>127190</v>
      </c>
      <c r="F136" s="113">
        <f ca="1">TblProd[[#This Row],[Gems]]</f>
        <v>0</v>
      </c>
      <c r="G136" s="200"/>
      <c r="H136" s="113">
        <f ca="1">TblMili[[#This Row],[Draftees]]</f>
        <v>4047</v>
      </c>
      <c r="I136" s="234">
        <f ca="1">TblPop[[#This Row],[Employment]]</f>
        <v>0</v>
      </c>
      <c r="J136" s="234">
        <f ca="1">TblPop[[#This Row],[Total]]/TblPop[[#This Row],[Net max]]</f>
        <v>1</v>
      </c>
      <c r="K136" s="373">
        <f>TblRezone[[#This Row],[Hour]]</f>
        <v>133</v>
      </c>
      <c r="L136" s="374">
        <f ca="1">TblImps[[#This Row],[Real time]]</f>
        <v>44410.24999999968</v>
      </c>
      <c r="M136" s="74">
        <f>IF(ISERROR(TblImps[[#This Row],[algorithm]]),0,TblImps[[#This Row],[algorithm]]*1)</f>
        <v>0</v>
      </c>
      <c r="N136" s="113">
        <f ca="1">TblImps[[#This Row],[Land]]</f>
        <v>600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44410.24999999968</v>
      </c>
      <c r="BZ136" s="387">
        <f ca="1">OFFSET(TblImps[[#This Row],[Servertime]],-1,0)+1/24</f>
        <v>44410.49999999968</v>
      </c>
      <c r="CA136" s="141"/>
      <c r="CB136" s="385"/>
      <c r="CC136" s="385"/>
    </row>
    <row r="1269" spans="2:23" x14ac:dyDescent="0.2">
      <c r="B1269" s="585" t="s">
        <v>327</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1" t="s">
        <v>1111</v>
      </c>
      <c r="B22" s="407">
        <v>25</v>
      </c>
      <c r="C22" s="97" t="s">
        <v>1112</v>
      </c>
      <c r="D22" s="403">
        <v>0.3</v>
      </c>
      <c r="E22" s="97" t="s">
        <v>449</v>
      </c>
    </row>
    <row r="23" spans="1:19" x14ac:dyDescent="0.2">
      <c r="A23" s="400" t="s">
        <v>80</v>
      </c>
    </row>
    <row r="24" spans="1:19" s="49" customFormat="1" x14ac:dyDescent="0.2">
      <c r="A24" s="408" t="s">
        <v>72</v>
      </c>
      <c r="B24" s="408" t="s">
        <v>71</v>
      </c>
      <c r="C24" s="408" t="s">
        <v>70</v>
      </c>
      <c r="D24" s="408" t="s">
        <v>69</v>
      </c>
      <c r="E24" s="408" t="s">
        <v>68</v>
      </c>
      <c r="F24" s="409" t="s">
        <v>63</v>
      </c>
      <c r="G24" s="409" t="s">
        <v>359</v>
      </c>
      <c r="H24" s="410" t="s">
        <v>64</v>
      </c>
      <c r="I24" s="410" t="s">
        <v>65</v>
      </c>
      <c r="J24" s="411" t="s">
        <v>66</v>
      </c>
      <c r="K24" s="411" t="s">
        <v>67</v>
      </c>
      <c r="L24" s="411" t="s">
        <v>361</v>
      </c>
      <c r="M24" s="412" t="s">
        <v>364</v>
      </c>
      <c r="N24" s="413" t="s">
        <v>74</v>
      </c>
      <c r="O24" s="413" t="s">
        <v>362</v>
      </c>
      <c r="P24" s="413" t="s">
        <v>524</v>
      </c>
      <c r="Q24" s="414" t="s">
        <v>75</v>
      </c>
      <c r="R24" s="414" t="s">
        <v>382</v>
      </c>
      <c r="S24" s="415" t="s">
        <v>76</v>
      </c>
    </row>
    <row r="25" spans="1:19" x14ac:dyDescent="0.2">
      <c r="A25" s="401">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188</v>
      </c>
      <c r="D28" s="419" t="s">
        <v>59</v>
      </c>
      <c r="E28" s="420" t="s">
        <v>60</v>
      </c>
      <c r="F28" s="421" t="s">
        <v>61</v>
      </c>
      <c r="G28" s="422" t="s">
        <v>62</v>
      </c>
    </row>
    <row r="29" spans="1:19" s="6" customFormat="1" x14ac:dyDescent="0.2">
      <c r="A29" s="401">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245</v>
      </c>
      <c r="E31" s="6"/>
      <c r="F31" s="6"/>
      <c r="G31" s="6"/>
      <c r="H31" s="6"/>
      <c r="I31" s="6"/>
      <c r="J31" s="6"/>
      <c r="K31" s="6"/>
      <c r="L31" s="6" t="s">
        <v>407</v>
      </c>
      <c r="M31" s="6"/>
      <c r="N31" s="6"/>
      <c r="O31" s="6"/>
      <c r="P31" s="6"/>
      <c r="Q31" s="6"/>
      <c r="R31" s="6"/>
      <c r="S31" s="6"/>
    </row>
    <row r="32" spans="1:19" x14ac:dyDescent="0.2">
      <c r="A32" s="401" t="s">
        <v>21</v>
      </c>
      <c r="B32" s="97">
        <f>HLOOKUP(1,E32:J36,2)</f>
        <v>1300</v>
      </c>
      <c r="D32" s="97" t="s">
        <v>448</v>
      </c>
      <c r="E32" s="97">
        <v>1</v>
      </c>
      <c r="F32" s="97">
        <v>2</v>
      </c>
      <c r="G32" s="97">
        <v>3</v>
      </c>
      <c r="H32" s="97">
        <v>4</v>
      </c>
      <c r="I32" s="97">
        <v>5</v>
      </c>
      <c r="J32" s="97">
        <v>6</v>
      </c>
      <c r="L32" s="97" t="s">
        <v>397</v>
      </c>
      <c r="M32" s="403">
        <v>0.1</v>
      </c>
      <c r="N32" s="97" t="s">
        <v>408</v>
      </c>
    </row>
    <row r="33" spans="1:16" x14ac:dyDescent="0.2">
      <c r="A33" s="401" t="s">
        <v>24</v>
      </c>
      <c r="B33" s="97">
        <v>100</v>
      </c>
      <c r="D33" s="97" t="s">
        <v>21</v>
      </c>
      <c r="E33" s="154">
        <v>1300</v>
      </c>
      <c r="F33" s="154">
        <v>1390</v>
      </c>
      <c r="G33" s="154">
        <v>1480</v>
      </c>
      <c r="H33" s="154">
        <v>1570</v>
      </c>
      <c r="I33" s="154">
        <v>1660</v>
      </c>
      <c r="J33" s="154">
        <v>1750</v>
      </c>
      <c r="K33" s="154"/>
      <c r="M33" s="403">
        <v>0.05</v>
      </c>
      <c r="N33" s="97" t="s">
        <v>409</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410</v>
      </c>
    </row>
    <row r="35" spans="1:16" x14ac:dyDescent="0.2">
      <c r="A35" s="401" t="str">
        <f>Overview!$A23</f>
        <v>Archer</v>
      </c>
      <c r="B35" s="97">
        <v>150</v>
      </c>
      <c r="D35" s="97" t="s">
        <v>5</v>
      </c>
      <c r="E35" s="154">
        <v>15000</v>
      </c>
      <c r="F35" s="154">
        <v>16000</v>
      </c>
      <c r="G35" s="154">
        <v>17000</v>
      </c>
      <c r="H35" s="154">
        <v>18000</v>
      </c>
      <c r="I35" s="154">
        <v>19000</v>
      </c>
      <c r="J35" s="154">
        <v>20000</v>
      </c>
      <c r="L35" s="97" t="s">
        <v>187</v>
      </c>
      <c r="M35" s="403">
        <v>-0.05</v>
      </c>
      <c r="N35" s="97" t="s">
        <v>411</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412</v>
      </c>
    </row>
    <row r="37" spans="1:16" x14ac:dyDescent="0.2">
      <c r="A37" s="401" t="str">
        <f>Overview!$A25</f>
        <v>Cavalry</v>
      </c>
      <c r="B37" s="97">
        <v>0</v>
      </c>
      <c r="M37" s="403">
        <v>-0.1</v>
      </c>
      <c r="N37" s="97" t="s">
        <v>411</v>
      </c>
      <c r="O37" s="97">
        <v>-2</v>
      </c>
      <c r="P37" s="97" t="s">
        <v>412</v>
      </c>
    </row>
    <row r="38" spans="1:16" x14ac:dyDescent="0.2">
      <c r="A38" s="401" t="s">
        <v>25</v>
      </c>
      <c r="B38" s="97">
        <v>25</v>
      </c>
      <c r="D38" s="97" t="s">
        <v>381</v>
      </c>
      <c r="E38" s="154">
        <v>1</v>
      </c>
      <c r="F38" s="97">
        <v>2</v>
      </c>
      <c r="G38" s="97">
        <v>3</v>
      </c>
      <c r="H38" s="97">
        <v>4</v>
      </c>
      <c r="I38" s="97">
        <v>5</v>
      </c>
      <c r="J38" s="97">
        <v>6</v>
      </c>
      <c r="L38" s="97" t="s">
        <v>290</v>
      </c>
      <c r="M38" s="403">
        <v>-0.1</v>
      </c>
      <c r="N38" s="97" t="s">
        <v>413</v>
      </c>
    </row>
    <row r="39" spans="1:16" x14ac:dyDescent="0.2">
      <c r="A39" s="401" t="s">
        <v>26</v>
      </c>
      <c r="B39" s="97">
        <v>25</v>
      </c>
      <c r="D39" s="97" t="s">
        <v>21</v>
      </c>
      <c r="E39" s="97">
        <v>1200</v>
      </c>
      <c r="F39" s="97">
        <v>1325</v>
      </c>
      <c r="G39" s="97">
        <v>1450</v>
      </c>
      <c r="H39" s="97">
        <v>1575</v>
      </c>
      <c r="I39" s="97">
        <v>1700</v>
      </c>
      <c r="J39" s="97">
        <v>1825</v>
      </c>
      <c r="M39" s="403">
        <v>-0.1</v>
      </c>
      <c r="N39" s="97" t="s">
        <v>414</v>
      </c>
    </row>
    <row r="40" spans="1:16" x14ac:dyDescent="0.2">
      <c r="A40" s="401" t="s">
        <v>27</v>
      </c>
      <c r="B40" s="97">
        <v>0</v>
      </c>
      <c r="D40" s="97" t="s">
        <v>2</v>
      </c>
      <c r="E40" s="97">
        <v>100000</v>
      </c>
      <c r="F40" s="97">
        <v>104750</v>
      </c>
      <c r="G40" s="97">
        <v>109500</v>
      </c>
      <c r="H40" s="97">
        <v>114250</v>
      </c>
      <c r="I40" s="97">
        <v>119000</v>
      </c>
      <c r="J40" s="97">
        <v>123750</v>
      </c>
      <c r="M40" s="403">
        <v>0.02</v>
      </c>
      <c r="N40" s="97" t="s">
        <v>415</v>
      </c>
    </row>
    <row r="41" spans="1:16" x14ac:dyDescent="0.2">
      <c r="D41" s="97" t="s">
        <v>5</v>
      </c>
      <c r="E41" s="97">
        <v>15000</v>
      </c>
      <c r="F41" s="97">
        <v>16000</v>
      </c>
      <c r="G41" s="97">
        <v>17000</v>
      </c>
      <c r="H41" s="97">
        <v>18000</v>
      </c>
      <c r="I41" s="97">
        <v>19000</v>
      </c>
      <c r="J41" s="97">
        <v>20000</v>
      </c>
      <c r="L41" s="97" t="s">
        <v>22</v>
      </c>
      <c r="M41" s="403">
        <v>-0.1</v>
      </c>
      <c r="N41" s="97" t="s">
        <v>416</v>
      </c>
    </row>
    <row r="42" spans="1:16" x14ac:dyDescent="0.2">
      <c r="A42" s="400" t="s">
        <v>78</v>
      </c>
      <c r="D42" s="97" t="s">
        <v>7</v>
      </c>
      <c r="E42" s="97">
        <v>15000</v>
      </c>
      <c r="F42" s="97">
        <v>15450</v>
      </c>
      <c r="G42" s="97">
        <v>15900</v>
      </c>
      <c r="H42" s="97">
        <v>16350</v>
      </c>
      <c r="I42" s="97">
        <v>16800</v>
      </c>
      <c r="J42" s="97">
        <v>17250</v>
      </c>
      <c r="M42" s="403">
        <v>-0.1</v>
      </c>
      <c r="N42" s="97" t="s">
        <v>417</v>
      </c>
    </row>
    <row r="43" spans="1:16" x14ac:dyDescent="0.2">
      <c r="A43" s="401" t="s">
        <v>2</v>
      </c>
      <c r="B43" s="154">
        <f>HLOOKUP(1,E32:J36,3)</f>
        <v>100000</v>
      </c>
      <c r="C43" s="154"/>
      <c r="M43" s="403">
        <v>0.05</v>
      </c>
      <c r="N43" s="97" t="s">
        <v>305</v>
      </c>
    </row>
    <row r="44" spans="1:16" x14ac:dyDescent="0.2">
      <c r="A44" s="401" t="s">
        <v>5</v>
      </c>
      <c r="B44" s="154">
        <f>HLOOKUP(1,E32:J36,4)</f>
        <v>15000</v>
      </c>
      <c r="C44" s="154"/>
      <c r="D44" s="97" t="s">
        <v>453</v>
      </c>
      <c r="L44" s="97" t="s">
        <v>73</v>
      </c>
      <c r="M44" s="403">
        <v>-0.1</v>
      </c>
      <c r="N44" s="97" t="s">
        <v>418</v>
      </c>
    </row>
    <row r="45" spans="1:16" x14ac:dyDescent="0.2">
      <c r="A45" s="401" t="s">
        <v>81</v>
      </c>
      <c r="B45" s="154">
        <f>HLOOKUP(1,E32:J36,5)</f>
        <v>15000</v>
      </c>
      <c r="C45" s="154"/>
      <c r="D45" s="97" t="s">
        <v>21</v>
      </c>
      <c r="E45" s="97">
        <v>100</v>
      </c>
      <c r="M45" s="403">
        <v>-0.2</v>
      </c>
      <c r="N45" s="97" t="s">
        <v>419</v>
      </c>
    </row>
    <row r="46" spans="1:16" x14ac:dyDescent="0.2">
      <c r="A46" s="401" t="s">
        <v>12</v>
      </c>
      <c r="B46" s="154">
        <v>0</v>
      </c>
      <c r="C46" s="154"/>
      <c r="D46" s="97" t="s">
        <v>2</v>
      </c>
      <c r="E46" s="97">
        <v>5000</v>
      </c>
      <c r="M46" s="97">
        <v>1</v>
      </c>
      <c r="N46" s="97" t="s">
        <v>420</v>
      </c>
    </row>
    <row r="47" spans="1:16" x14ac:dyDescent="0.2">
      <c r="A47" s="401" t="s">
        <v>3</v>
      </c>
      <c r="B47" s="154">
        <v>0</v>
      </c>
      <c r="C47" s="154"/>
      <c r="D47" s="97" t="s">
        <v>5</v>
      </c>
      <c r="E47" s="97">
        <v>1500</v>
      </c>
      <c r="L47" s="97" t="s">
        <v>193</v>
      </c>
      <c r="M47" s="403">
        <v>-0.1</v>
      </c>
      <c r="N47" s="97" t="s">
        <v>421</v>
      </c>
    </row>
    <row r="48" spans="1:16" x14ac:dyDescent="0.2">
      <c r="A48" s="401" t="s">
        <v>4</v>
      </c>
      <c r="B48" s="154">
        <v>10000</v>
      </c>
      <c r="C48" s="154"/>
      <c r="D48" s="97" t="s">
        <v>7</v>
      </c>
      <c r="E48" s="97">
        <v>2500</v>
      </c>
      <c r="M48" s="403">
        <v>-0.2</v>
      </c>
      <c r="N48" s="97" t="s">
        <v>422</v>
      </c>
    </row>
    <row r="49" spans="1:21" x14ac:dyDescent="0.2">
      <c r="A49" s="401" t="s">
        <v>82</v>
      </c>
      <c r="B49" s="154">
        <v>0</v>
      </c>
      <c r="C49" s="154"/>
      <c r="D49" s="97" t="s">
        <v>3</v>
      </c>
      <c r="E49" s="97">
        <v>2500</v>
      </c>
      <c r="M49" s="97">
        <v>1</v>
      </c>
      <c r="N49" s="97" t="s">
        <v>423</v>
      </c>
    </row>
    <row r="50" spans="1:21" x14ac:dyDescent="0.2">
      <c r="D50" s="97" t="s">
        <v>12</v>
      </c>
      <c r="E50" s="97">
        <v>1000</v>
      </c>
      <c r="L50" s="97" t="s">
        <v>398</v>
      </c>
      <c r="M50" s="403">
        <v>-0.1</v>
      </c>
      <c r="N50" s="97" t="s">
        <v>424</v>
      </c>
    </row>
    <row r="51" spans="1:21" x14ac:dyDescent="0.2">
      <c r="A51" s="400" t="s">
        <v>86</v>
      </c>
      <c r="D51" s="97" t="s">
        <v>454</v>
      </c>
      <c r="E51" s="97">
        <v>30</v>
      </c>
      <c r="L51" s="97" t="s">
        <v>399</v>
      </c>
      <c r="M51" s="403">
        <v>0.2</v>
      </c>
      <c r="N51" s="97" t="s">
        <v>425</v>
      </c>
      <c r="O51" s="403">
        <v>0.1</v>
      </c>
      <c r="P51" s="97" t="s">
        <v>409</v>
      </c>
    </row>
    <row r="52" spans="1:21" x14ac:dyDescent="0.2">
      <c r="A52" s="401" t="s">
        <v>21</v>
      </c>
      <c r="B52" s="423">
        <v>0.03</v>
      </c>
      <c r="D52" s="97" t="s">
        <v>455</v>
      </c>
      <c r="E52" s="97">
        <v>30</v>
      </c>
      <c r="L52" s="97" t="s">
        <v>400</v>
      </c>
      <c r="M52" s="424">
        <v>0.06</v>
      </c>
      <c r="N52" s="97" t="s">
        <v>415</v>
      </c>
    </row>
    <row r="53" spans="1:21" x14ac:dyDescent="0.2">
      <c r="A53" s="401" t="s">
        <v>24</v>
      </c>
      <c r="B53" s="423">
        <v>0.01</v>
      </c>
      <c r="L53" s="97" t="s">
        <v>401</v>
      </c>
      <c r="M53" s="425">
        <v>0.125</v>
      </c>
      <c r="N53" s="97" t="s">
        <v>410</v>
      </c>
    </row>
    <row r="54" spans="1:21" x14ac:dyDescent="0.2">
      <c r="A54" s="401" t="s">
        <v>14</v>
      </c>
      <c r="B54" s="423">
        <v>0.01</v>
      </c>
      <c r="L54" s="97" t="s">
        <v>402</v>
      </c>
      <c r="M54" s="403">
        <v>-0.3</v>
      </c>
      <c r="N54" s="97" t="s">
        <v>426</v>
      </c>
    </row>
    <row r="55" spans="1:21" x14ac:dyDescent="0.2">
      <c r="A55" s="401" t="s">
        <v>16</v>
      </c>
      <c r="B55" s="423">
        <v>0.01</v>
      </c>
      <c r="L55" s="97" t="s">
        <v>403</v>
      </c>
      <c r="M55" s="403">
        <v>-0.2</v>
      </c>
      <c r="N55" s="97" t="s">
        <v>411</v>
      </c>
      <c r="O55" s="403">
        <v>0.15</v>
      </c>
      <c r="P55" s="97" t="s">
        <v>427</v>
      </c>
    </row>
    <row r="56" spans="1:21" x14ac:dyDescent="0.2">
      <c r="A56" s="401" t="s">
        <v>15</v>
      </c>
      <c r="B56" s="423">
        <v>0.02</v>
      </c>
      <c r="L56" s="97" t="s">
        <v>404</v>
      </c>
      <c r="M56" s="403">
        <v>-0.25</v>
      </c>
      <c r="N56" s="97" t="s">
        <v>428</v>
      </c>
    </row>
    <row r="57" spans="1:21" x14ac:dyDescent="0.2">
      <c r="L57" s="97" t="s">
        <v>405</v>
      </c>
      <c r="M57" s="403">
        <v>0.1</v>
      </c>
      <c r="N57" s="97" t="s">
        <v>305</v>
      </c>
      <c r="O57" s="403">
        <v>0.15</v>
      </c>
      <c r="P57" s="97" t="s">
        <v>429</v>
      </c>
    </row>
    <row r="58" spans="1:21" x14ac:dyDescent="0.2">
      <c r="L58" s="97" t="s">
        <v>406</v>
      </c>
      <c r="M58" s="97">
        <v>3</v>
      </c>
      <c r="N58" s="97" t="s">
        <v>430</v>
      </c>
    </row>
    <row r="59" spans="1:21" x14ac:dyDescent="0.2">
      <c r="A59" s="401" t="s">
        <v>87</v>
      </c>
      <c r="B59" s="97">
        <v>0.25</v>
      </c>
      <c r="C59" s="97" t="s">
        <v>88</v>
      </c>
      <c r="U59" s="424"/>
    </row>
    <row r="60" spans="1:21" x14ac:dyDescent="0.2">
      <c r="A60" s="401" t="s">
        <v>177</v>
      </c>
      <c r="B60" s="97">
        <v>2.7</v>
      </c>
      <c r="C60" s="97" t="s">
        <v>178</v>
      </c>
      <c r="T60" s="426"/>
      <c r="U60" s="424"/>
    </row>
    <row r="61" spans="1:21" x14ac:dyDescent="0.2">
      <c r="L61" s="97" t="s">
        <v>33</v>
      </c>
      <c r="M61" s="97">
        <v>6.4</v>
      </c>
      <c r="N61" s="97" t="s">
        <v>484</v>
      </c>
      <c r="U61" s="424"/>
    </row>
    <row r="62" spans="1:21" x14ac:dyDescent="0.2">
      <c r="A62" s="400" t="s">
        <v>180</v>
      </c>
    </row>
    <row r="63" spans="1:21" x14ac:dyDescent="0.2">
      <c r="A63" s="401" t="s">
        <v>356</v>
      </c>
      <c r="B63" s="97">
        <v>35</v>
      </c>
      <c r="C63" s="97" t="s">
        <v>357</v>
      </c>
      <c r="D63" s="97" t="s">
        <v>358</v>
      </c>
      <c r="L63" s="97" t="s">
        <v>483</v>
      </c>
      <c r="M63" s="97">
        <v>3780</v>
      </c>
      <c r="U63" s="403"/>
    </row>
    <row r="64" spans="1:21" x14ac:dyDescent="0.2">
      <c r="A64" s="401" t="s">
        <v>182</v>
      </c>
      <c r="B64" s="97">
        <v>30</v>
      </c>
      <c r="C64" s="97" t="s">
        <v>281</v>
      </c>
    </row>
    <row r="65" spans="1:21" x14ac:dyDescent="0.2">
      <c r="A65" s="401" t="s">
        <v>490</v>
      </c>
      <c r="B65" s="97">
        <v>15</v>
      </c>
      <c r="C65" s="97" t="s">
        <v>281</v>
      </c>
      <c r="L65" s="6" t="s">
        <v>650</v>
      </c>
      <c r="U65" s="403"/>
    </row>
    <row r="66" spans="1:21" x14ac:dyDescent="0.2">
      <c r="A66" s="401" t="s">
        <v>360</v>
      </c>
      <c r="B66" s="97">
        <v>15</v>
      </c>
      <c r="C66" s="97" t="s">
        <v>281</v>
      </c>
      <c r="L66" s="426" t="s">
        <v>555</v>
      </c>
      <c r="M66" s="528">
        <v>2.5000000000000001E-2</v>
      </c>
      <c r="N66" s="97" t="s">
        <v>655</v>
      </c>
      <c r="U66" s="403"/>
    </row>
    <row r="67" spans="1:21" x14ac:dyDescent="0.2">
      <c r="A67" s="401" t="s">
        <v>181</v>
      </c>
      <c r="B67" s="97">
        <v>15</v>
      </c>
      <c r="C67" s="97" t="str">
        <f>C64</f>
        <v>peasants</v>
      </c>
      <c r="L67" s="426" t="s">
        <v>557</v>
      </c>
      <c r="M67" s="528">
        <v>7.4999999999999997E-2</v>
      </c>
      <c r="N67" s="97" t="s">
        <v>656</v>
      </c>
    </row>
    <row r="68" spans="1:21" x14ac:dyDescent="0.2">
      <c r="A68" s="401" t="s">
        <v>282</v>
      </c>
      <c r="B68" s="97">
        <f>IF(OR(Overview!$B$14="Halfling",Overview!$B$14="Dwarf",Overview!$B$14="Gnome"),10,5)</f>
        <v>5</v>
      </c>
      <c r="L68" s="97" t="s">
        <v>559</v>
      </c>
      <c r="M68" s="2">
        <v>0.05</v>
      </c>
      <c r="N68" s="97" t="s">
        <v>657</v>
      </c>
    </row>
    <row r="69" spans="1:21" x14ac:dyDescent="0.2">
      <c r="L69" s="97" t="s">
        <v>561</v>
      </c>
      <c r="M69" s="528">
        <v>7.4999999999999997E-2</v>
      </c>
      <c r="N69" s="97" t="s">
        <v>655</v>
      </c>
      <c r="T69" s="426"/>
      <c r="U69" s="424"/>
    </row>
    <row r="70" spans="1:21" x14ac:dyDescent="0.2">
      <c r="A70" s="427" t="s">
        <v>283</v>
      </c>
      <c r="L70" s="97" t="s">
        <v>563</v>
      </c>
      <c r="M70" s="528">
        <v>2.5000000000000001E-2</v>
      </c>
      <c r="N70" s="97" t="s">
        <v>658</v>
      </c>
      <c r="T70" s="91"/>
      <c r="U70" s="424"/>
    </row>
    <row r="71" spans="1:21" x14ac:dyDescent="0.2">
      <c r="A71" s="401" t="str">
        <f>CONCATENATE("Your race is ",Overview!B14)</f>
        <v>Your race is Human</v>
      </c>
      <c r="L71" s="97" t="s">
        <v>565</v>
      </c>
      <c r="M71" s="2">
        <v>0.05</v>
      </c>
      <c r="N71" s="97" t="s">
        <v>694</v>
      </c>
      <c r="S71" s="428"/>
      <c r="T71" s="428"/>
      <c r="U71" s="403"/>
    </row>
    <row r="72" spans="1:21" x14ac:dyDescent="0.2">
      <c r="L72" s="97" t="s">
        <v>566</v>
      </c>
      <c r="M72" s="2">
        <v>0.1</v>
      </c>
      <c r="N72" s="97" t="s">
        <v>779</v>
      </c>
      <c r="S72" s="428"/>
      <c r="T72" s="428"/>
      <c r="U72" s="403"/>
    </row>
    <row r="73" spans="1:21" x14ac:dyDescent="0.2">
      <c r="A73" s="400" t="s">
        <v>213</v>
      </c>
      <c r="B73" s="97" t="s">
        <v>284</v>
      </c>
      <c r="F73" s="97" t="s">
        <v>218</v>
      </c>
      <c r="L73" s="97" t="s">
        <v>567</v>
      </c>
      <c r="M73" s="2">
        <v>-0.1</v>
      </c>
      <c r="N73" s="97" t="s">
        <v>692</v>
      </c>
      <c r="O73" s="97" t="s">
        <v>661</v>
      </c>
      <c r="S73" s="426"/>
      <c r="T73" s="428"/>
      <c r="U73" s="403"/>
    </row>
    <row r="74" spans="1:21" x14ac:dyDescent="0.2">
      <c r="A74" s="401" t="s">
        <v>208</v>
      </c>
      <c r="B74" s="97">
        <v>2</v>
      </c>
      <c r="C74" s="97" t="s">
        <v>214</v>
      </c>
      <c r="D74" s="423"/>
      <c r="F74" s="423">
        <v>0.1</v>
      </c>
      <c r="G74" s="97" t="s">
        <v>107</v>
      </c>
      <c r="L74" s="97" t="s">
        <v>568</v>
      </c>
      <c r="M74" s="2">
        <v>-0.05</v>
      </c>
      <c r="N74" s="97" t="s">
        <v>699</v>
      </c>
      <c r="O74" s="403">
        <v>-0.15</v>
      </c>
      <c r="P74" s="97" t="s">
        <v>676</v>
      </c>
      <c r="S74" s="428"/>
      <c r="T74" s="428"/>
      <c r="U74" s="424"/>
    </row>
    <row r="75" spans="1:21" x14ac:dyDescent="0.2">
      <c r="A75" s="401" t="s">
        <v>209</v>
      </c>
      <c r="B75" s="97">
        <v>2</v>
      </c>
      <c r="C75" s="97" t="s">
        <v>214</v>
      </c>
      <c r="D75" s="423"/>
      <c r="F75" s="423">
        <v>0.1</v>
      </c>
      <c r="G75" s="97" t="s">
        <v>110</v>
      </c>
      <c r="L75" s="97" t="s">
        <v>570</v>
      </c>
      <c r="M75" s="528">
        <v>-2.5000000000000001E-2</v>
      </c>
      <c r="N75" s="97" t="s">
        <v>662</v>
      </c>
      <c r="S75" s="428"/>
      <c r="T75" s="428"/>
      <c r="U75" s="403"/>
    </row>
    <row r="76" spans="1:21" x14ac:dyDescent="0.2">
      <c r="A76" s="401" t="s">
        <v>215</v>
      </c>
      <c r="B76" s="97">
        <v>2.5</v>
      </c>
      <c r="C76" s="97" t="s">
        <v>214</v>
      </c>
      <c r="D76" s="423"/>
      <c r="F76" s="423">
        <v>0.1</v>
      </c>
      <c r="G76" s="97" t="s">
        <v>32</v>
      </c>
      <c r="L76" s="97" t="s">
        <v>572</v>
      </c>
      <c r="M76" s="2">
        <v>-0.1</v>
      </c>
      <c r="N76" s="97" t="s">
        <v>780</v>
      </c>
      <c r="S76" s="428"/>
      <c r="T76" s="428"/>
    </row>
    <row r="77" spans="1:21" x14ac:dyDescent="0.2">
      <c r="A77" s="401" t="s">
        <v>212</v>
      </c>
      <c r="B77" s="97">
        <v>2.5</v>
      </c>
      <c r="C77" s="97" t="s">
        <v>214</v>
      </c>
      <c r="D77" s="423"/>
      <c r="F77" s="423">
        <v>0.5</v>
      </c>
      <c r="G77" s="97" t="s">
        <v>219</v>
      </c>
      <c r="M77"/>
      <c r="S77" s="426"/>
      <c r="T77" s="428"/>
    </row>
    <row r="78" spans="1:21" x14ac:dyDescent="0.2">
      <c r="A78" s="401" t="s">
        <v>216</v>
      </c>
      <c r="B78" s="97">
        <v>2.5</v>
      </c>
      <c r="C78" s="97" t="s">
        <v>214</v>
      </c>
      <c r="D78" s="423"/>
      <c r="F78" s="423">
        <v>0.1</v>
      </c>
      <c r="G78" s="97" t="s">
        <v>106</v>
      </c>
      <c r="L78" s="97" t="s">
        <v>573</v>
      </c>
      <c r="M78" s="528">
        <v>-0.1</v>
      </c>
      <c r="N78" s="97" t="s">
        <v>664</v>
      </c>
      <c r="S78" s="426"/>
      <c r="T78" s="428"/>
      <c r="U78" s="424"/>
    </row>
    <row r="79" spans="1:21" x14ac:dyDescent="0.2">
      <c r="A79" s="401" t="s">
        <v>545</v>
      </c>
      <c r="B79" s="97">
        <v>5</v>
      </c>
      <c r="C79" s="97" t="s">
        <v>214</v>
      </c>
      <c r="D79" s="423"/>
      <c r="F79" s="423">
        <v>0.2</v>
      </c>
      <c r="G79" s="97" t="s">
        <v>110</v>
      </c>
      <c r="H79" s="97" t="s">
        <v>258</v>
      </c>
      <c r="L79" s="97" t="s">
        <v>574</v>
      </c>
      <c r="M79" s="2">
        <v>0.15</v>
      </c>
      <c r="N79" s="97" t="s">
        <v>665</v>
      </c>
      <c r="S79" s="426"/>
      <c r="T79" s="428"/>
      <c r="U79" s="403"/>
    </row>
    <row r="80" spans="1:21" x14ac:dyDescent="0.2">
      <c r="A80" s="401" t="s">
        <v>546</v>
      </c>
      <c r="B80" s="97">
        <v>5</v>
      </c>
      <c r="C80" s="97" t="s">
        <v>214</v>
      </c>
      <c r="D80" s="423"/>
      <c r="F80" s="423">
        <v>0.3</v>
      </c>
      <c r="G80" s="97" t="s">
        <v>547</v>
      </c>
      <c r="L80" s="97" t="s">
        <v>575</v>
      </c>
      <c r="M80" s="2">
        <v>-0.05</v>
      </c>
      <c r="N80" s="97" t="s">
        <v>666</v>
      </c>
      <c r="S80" s="426"/>
      <c r="T80" s="428"/>
      <c r="U80" s="403"/>
    </row>
    <row r="81" spans="1:23" x14ac:dyDescent="0.2">
      <c r="A81" s="401" t="s">
        <v>273</v>
      </c>
      <c r="B81" s="97">
        <f>B79</f>
        <v>5</v>
      </c>
      <c r="C81" s="97" t="str">
        <f>C79</f>
        <v>* Landsize</v>
      </c>
      <c r="D81" s="403"/>
      <c r="F81" s="423">
        <v>0.2</v>
      </c>
      <c r="G81" s="97" t="s">
        <v>32</v>
      </c>
      <c r="H81" s="97" t="s">
        <v>270</v>
      </c>
      <c r="L81" s="97" t="s">
        <v>577</v>
      </c>
      <c r="M81" s="2">
        <v>-0.2</v>
      </c>
      <c r="N81" s="97" t="s">
        <v>667</v>
      </c>
      <c r="S81" s="426"/>
      <c r="T81" s="428"/>
      <c r="U81" s="403"/>
    </row>
    <row r="82" spans="1:23" x14ac:dyDescent="0.2">
      <c r="A82" s="401" t="s">
        <v>272</v>
      </c>
      <c r="B82" s="97">
        <f>B79</f>
        <v>5</v>
      </c>
      <c r="C82" s="97" t="str">
        <f>C79</f>
        <v>* Landsize</v>
      </c>
      <c r="D82" s="403"/>
      <c r="F82" s="423">
        <v>0.1</v>
      </c>
      <c r="G82" s="97" t="s">
        <v>31</v>
      </c>
      <c r="L82" s="97" t="s">
        <v>579</v>
      </c>
      <c r="M82" s="2">
        <v>0.01</v>
      </c>
      <c r="N82" s="97" t="s">
        <v>668</v>
      </c>
      <c r="O82" s="97" t="s">
        <v>661</v>
      </c>
      <c r="S82" s="426"/>
      <c r="T82" s="428"/>
      <c r="U82" s="403"/>
    </row>
    <row r="83" spans="1:23" x14ac:dyDescent="0.2">
      <c r="A83" s="401" t="s">
        <v>310</v>
      </c>
      <c r="B83" s="97">
        <v>5</v>
      </c>
      <c r="C83" s="97" t="str">
        <f>C82</f>
        <v>* Landsize</v>
      </c>
      <c r="D83" s="403"/>
      <c r="F83" s="403">
        <v>0.2</v>
      </c>
      <c r="G83" s="173" t="s">
        <v>107</v>
      </c>
      <c r="H83" s="403">
        <v>0.1</v>
      </c>
      <c r="I83" s="97" t="s">
        <v>108</v>
      </c>
      <c r="L83" s="97" t="s">
        <v>580</v>
      </c>
      <c r="M83" s="529">
        <v>-2.5000000000000001E-2</v>
      </c>
      <c r="N83" s="97" t="s">
        <v>660</v>
      </c>
      <c r="O83" s="424">
        <v>-2.5000000000000001E-2</v>
      </c>
      <c r="P83" s="97" t="s">
        <v>781</v>
      </c>
      <c r="S83" s="428"/>
      <c r="T83" s="428"/>
    </row>
    <row r="84" spans="1:23" x14ac:dyDescent="0.2">
      <c r="A84" s="401" t="s">
        <v>347</v>
      </c>
      <c r="B84" s="97">
        <f>B83</f>
        <v>5</v>
      </c>
      <c r="C84" s="97" t="str">
        <f>C83</f>
        <v>* Landsize</v>
      </c>
      <c r="D84" s="403"/>
      <c r="F84" s="403">
        <v>0.1</v>
      </c>
      <c r="G84" s="173" t="s">
        <v>31</v>
      </c>
      <c r="H84" s="403">
        <v>0.1</v>
      </c>
      <c r="I84" s="97" t="s">
        <v>32</v>
      </c>
      <c r="L84" s="97" t="s">
        <v>582</v>
      </c>
      <c r="M84">
        <v>1.25</v>
      </c>
      <c r="N84" s="97" t="s">
        <v>696</v>
      </c>
      <c r="S84" s="428"/>
      <c r="T84" s="428"/>
      <c r="U84" s="424"/>
    </row>
    <row r="85" spans="1:23" x14ac:dyDescent="0.2">
      <c r="A85" s="401" t="s">
        <v>346</v>
      </c>
      <c r="B85" s="97">
        <f>B84</f>
        <v>5</v>
      </c>
      <c r="C85" s="97" t="str">
        <f>C84</f>
        <v>* Landsize</v>
      </c>
      <c r="D85" s="403"/>
      <c r="F85" s="403">
        <v>0.15</v>
      </c>
      <c r="G85" s="173" t="s">
        <v>32</v>
      </c>
      <c r="H85" s="403" t="s">
        <v>348</v>
      </c>
      <c r="L85" s="97" t="s">
        <v>584</v>
      </c>
      <c r="M85" s="2">
        <v>-0.15</v>
      </c>
      <c r="N85" s="97" t="s">
        <v>664</v>
      </c>
      <c r="S85" s="428"/>
      <c r="T85" s="428"/>
      <c r="U85" s="403"/>
    </row>
    <row r="86" spans="1:23" x14ac:dyDescent="0.2">
      <c r="A86" s="401" t="s">
        <v>353</v>
      </c>
      <c r="B86" s="97">
        <v>5</v>
      </c>
      <c r="C86" s="429" t="str">
        <f>C85</f>
        <v>* Landsize</v>
      </c>
      <c r="D86" s="403"/>
      <c r="F86" s="430">
        <v>15</v>
      </c>
      <c r="G86" s="173" t="s">
        <v>354</v>
      </c>
      <c r="H86" s="403"/>
      <c r="L86" s="97" t="s">
        <v>585</v>
      </c>
      <c r="M86" s="528">
        <v>-2.5000000000000001E-2</v>
      </c>
      <c r="N86" s="97" t="s">
        <v>660</v>
      </c>
      <c r="O86" s="97">
        <v>-1</v>
      </c>
      <c r="P86" s="97" t="s">
        <v>693</v>
      </c>
      <c r="S86" s="428"/>
      <c r="T86" s="428"/>
      <c r="U86" s="403"/>
    </row>
    <row r="87" spans="1:23" x14ac:dyDescent="0.2">
      <c r="A87" s="401" t="s">
        <v>438</v>
      </c>
      <c r="B87" s="97">
        <v>5</v>
      </c>
      <c r="C87" s="97" t="str">
        <f>C86</f>
        <v>* Landsize</v>
      </c>
      <c r="D87" s="403"/>
      <c r="F87" s="403">
        <v>0.05</v>
      </c>
      <c r="G87" s="173" t="s">
        <v>31</v>
      </c>
      <c r="L87" s="97" t="s">
        <v>586</v>
      </c>
      <c r="M87" s="528">
        <v>-2.5000000000000001E-2</v>
      </c>
      <c r="N87" s="97" t="s">
        <v>666</v>
      </c>
      <c r="S87" s="426"/>
      <c r="T87" s="428"/>
      <c r="U87" s="424"/>
    </row>
    <row r="88" spans="1:23" x14ac:dyDescent="0.2">
      <c r="M88"/>
      <c r="S88" s="426"/>
      <c r="T88" s="428"/>
    </row>
    <row r="89" spans="1:23" x14ac:dyDescent="0.2">
      <c r="A89" s="400" t="s">
        <v>82</v>
      </c>
      <c r="L89" s="97" t="s">
        <v>588</v>
      </c>
      <c r="M89" s="2">
        <v>0.05</v>
      </c>
      <c r="N89" s="97" t="s">
        <v>669</v>
      </c>
      <c r="S89" s="426"/>
      <c r="T89" s="428"/>
    </row>
    <row r="90" spans="1:23" x14ac:dyDescent="0.2">
      <c r="A90" s="401" t="s">
        <v>280</v>
      </c>
      <c r="B90" s="97">
        <f>IF(Overview!$B$14="Kobold",40,30)</f>
        <v>30</v>
      </c>
      <c r="C90" s="97" t="s">
        <v>251</v>
      </c>
      <c r="L90" s="97" t="s">
        <v>590</v>
      </c>
      <c r="M90" s="528">
        <v>2.5000000000000001E-2</v>
      </c>
      <c r="N90" s="97" t="s">
        <v>671</v>
      </c>
      <c r="S90" s="426"/>
      <c r="T90" s="428"/>
      <c r="U90" s="424"/>
    </row>
    <row r="91" spans="1:23" x14ac:dyDescent="0.2">
      <c r="L91" s="97" t="s">
        <v>592</v>
      </c>
      <c r="M91" s="528">
        <v>7.4999999999999997E-2</v>
      </c>
      <c r="N91" s="97" t="s">
        <v>672</v>
      </c>
      <c r="O91" s="425">
        <v>7.4999999999999997E-2</v>
      </c>
      <c r="P91" s="97" t="s">
        <v>673</v>
      </c>
      <c r="S91" s="426"/>
      <c r="T91" s="428"/>
      <c r="U91" s="424"/>
      <c r="W91" s="403"/>
    </row>
    <row r="92" spans="1:23" x14ac:dyDescent="0.2">
      <c r="A92" s="400" t="s">
        <v>363</v>
      </c>
      <c r="L92" s="97" t="s">
        <v>593</v>
      </c>
      <c r="M92" s="528">
        <v>7.4999999999999997E-2</v>
      </c>
      <c r="N92" s="97" t="s">
        <v>656</v>
      </c>
      <c r="O92" s="403">
        <v>0.05</v>
      </c>
      <c r="P92" s="97" t="s">
        <v>674</v>
      </c>
      <c r="S92" s="426"/>
      <c r="T92" s="428"/>
      <c r="U92" s="424"/>
      <c r="W92" s="403"/>
    </row>
    <row r="93" spans="1:23" x14ac:dyDescent="0.2">
      <c r="A93" s="401" t="s">
        <v>519</v>
      </c>
      <c r="B93" s="97">
        <v>250</v>
      </c>
      <c r="L93" s="97" t="s">
        <v>595</v>
      </c>
      <c r="M93" s="528">
        <v>-1.7500000000000002E-2</v>
      </c>
      <c r="N93" s="97" t="s">
        <v>659</v>
      </c>
      <c r="S93" s="428"/>
      <c r="T93" s="428"/>
    </row>
    <row r="94" spans="1:23" x14ac:dyDescent="0.2">
      <c r="A94" s="401" t="s">
        <v>520</v>
      </c>
      <c r="B94" s="403">
        <v>0.01</v>
      </c>
      <c r="L94" s="97" t="s">
        <v>596</v>
      </c>
      <c r="M94" s="528">
        <v>1.4999999999999999E-2</v>
      </c>
      <c r="N94" s="97" t="s">
        <v>670</v>
      </c>
      <c r="S94" s="428"/>
      <c r="T94" s="428"/>
      <c r="U94" s="403"/>
    </row>
    <row r="95" spans="1:23" x14ac:dyDescent="0.2">
      <c r="A95" s="401" t="s">
        <v>521</v>
      </c>
      <c r="B95" s="403">
        <v>0.01</v>
      </c>
      <c r="L95" s="97" t="s">
        <v>597</v>
      </c>
      <c r="M95" s="528">
        <v>-7.4999999999999997E-2</v>
      </c>
      <c r="N95" s="97" t="s">
        <v>660</v>
      </c>
      <c r="O95" s="97">
        <v>-2</v>
      </c>
      <c r="P95" s="97" t="s">
        <v>693</v>
      </c>
      <c r="S95" s="428"/>
      <c r="T95" s="428"/>
      <c r="U95" s="424"/>
    </row>
    <row r="96" spans="1:23" x14ac:dyDescent="0.2">
      <c r="A96" s="401" t="s">
        <v>522</v>
      </c>
      <c r="B96" s="403">
        <v>0.01</v>
      </c>
      <c r="L96" s="97" t="s">
        <v>598</v>
      </c>
      <c r="M96" s="2">
        <v>-0.5</v>
      </c>
      <c r="N96" s="97" t="s">
        <v>675</v>
      </c>
      <c r="S96" s="426"/>
      <c r="T96" s="428"/>
      <c r="U96" s="403"/>
    </row>
    <row r="97" spans="1:23" x14ac:dyDescent="0.2">
      <c r="L97" s="97" t="s">
        <v>600</v>
      </c>
      <c r="M97" s="2">
        <v>-0.1</v>
      </c>
      <c r="N97" s="97" t="s">
        <v>663</v>
      </c>
      <c r="S97" s="428"/>
      <c r="T97" s="428"/>
      <c r="U97" s="403"/>
      <c r="W97" s="403"/>
    </row>
    <row r="98" spans="1:23" x14ac:dyDescent="0.2">
      <c r="A98" s="400" t="s">
        <v>469</v>
      </c>
      <c r="M98"/>
      <c r="S98" s="426"/>
      <c r="T98" s="428"/>
    </row>
    <row r="99" spans="1:23" x14ac:dyDescent="0.2">
      <c r="L99" s="97" t="s">
        <v>602</v>
      </c>
      <c r="M99" s="528">
        <v>0.125</v>
      </c>
      <c r="N99" s="97" t="s">
        <v>677</v>
      </c>
      <c r="S99" s="428"/>
      <c r="T99" s="428"/>
      <c r="U99" s="424"/>
    </row>
    <row r="100" spans="1:23" x14ac:dyDescent="0.2">
      <c r="A100" s="401" t="s">
        <v>470</v>
      </c>
      <c r="B100" s="97" t="s">
        <v>222</v>
      </c>
      <c r="D100" s="423">
        <v>0.3</v>
      </c>
      <c r="E100" s="97" t="s">
        <v>449</v>
      </c>
      <c r="L100" s="97" t="s">
        <v>603</v>
      </c>
      <c r="M100"/>
      <c r="N100" s="97" t="s">
        <v>651</v>
      </c>
      <c r="S100" s="426"/>
      <c r="T100" s="428"/>
    </row>
    <row r="101" spans="1:23" x14ac:dyDescent="0.2">
      <c r="B101" s="97" t="s">
        <v>220</v>
      </c>
      <c r="D101" s="423">
        <v>0.2</v>
      </c>
      <c r="E101" s="97" t="s">
        <v>449</v>
      </c>
      <c r="L101" s="97" t="s">
        <v>604</v>
      </c>
      <c r="M101" s="528">
        <v>2.5000000000000001E-2</v>
      </c>
      <c r="N101" s="97" t="s">
        <v>671</v>
      </c>
      <c r="O101" s="424">
        <v>7.4999999999999997E-2</v>
      </c>
      <c r="P101" s="97" t="s">
        <v>669</v>
      </c>
      <c r="S101" s="426"/>
      <c r="T101" s="428"/>
      <c r="U101" s="424"/>
      <c r="W101" s="424"/>
    </row>
    <row r="102" spans="1:23" x14ac:dyDescent="0.2">
      <c r="B102" s="97" t="s">
        <v>471</v>
      </c>
      <c r="D102" s="423">
        <v>0.3</v>
      </c>
      <c r="E102" s="97" t="s">
        <v>449</v>
      </c>
      <c r="L102" s="97" t="s">
        <v>605</v>
      </c>
      <c r="M102" s="2">
        <v>0.05</v>
      </c>
      <c r="N102" s="97" t="s">
        <v>658</v>
      </c>
      <c r="S102" s="426"/>
      <c r="T102" s="428"/>
      <c r="U102" s="403"/>
    </row>
    <row r="103" spans="1:23" x14ac:dyDescent="0.2">
      <c r="B103" s="97" t="s">
        <v>472</v>
      </c>
      <c r="D103" s="423">
        <v>0.6</v>
      </c>
      <c r="E103" s="97" t="s">
        <v>449</v>
      </c>
      <c r="L103" s="97" t="s">
        <v>606</v>
      </c>
      <c r="M103">
        <v>1</v>
      </c>
      <c r="N103" s="97" t="s">
        <v>1107</v>
      </c>
      <c r="S103" s="428"/>
      <c r="T103" s="428"/>
      <c r="U103" s="403"/>
    </row>
    <row r="104" spans="1:23" x14ac:dyDescent="0.2">
      <c r="L104" s="97" t="s">
        <v>607</v>
      </c>
      <c r="M104" s="528">
        <v>-7.4999999999999997E-2</v>
      </c>
      <c r="N104" s="97" t="s">
        <v>666</v>
      </c>
      <c r="S104" s="428"/>
      <c r="T104" s="428"/>
      <c r="U104" s="403"/>
    </row>
    <row r="105" spans="1:23" x14ac:dyDescent="0.2">
      <c r="A105" s="401" t="s">
        <v>473</v>
      </c>
      <c r="B105" s="97" t="s">
        <v>222</v>
      </c>
      <c r="D105" s="97">
        <v>4000</v>
      </c>
      <c r="E105" s="97" t="s">
        <v>523</v>
      </c>
      <c r="L105" s="97" t="s">
        <v>609</v>
      </c>
      <c r="M105">
        <v>-1</v>
      </c>
      <c r="N105" s="97" t="s">
        <v>782</v>
      </c>
      <c r="S105" s="428"/>
      <c r="T105" s="428"/>
      <c r="U105" s="424"/>
    </row>
    <row r="106" spans="1:23" x14ac:dyDescent="0.2">
      <c r="B106" s="97" t="s">
        <v>220</v>
      </c>
      <c r="D106" s="97">
        <v>4000</v>
      </c>
      <c r="E106" s="97" t="s">
        <v>523</v>
      </c>
      <c r="L106" s="97" t="s">
        <v>611</v>
      </c>
      <c r="M106" s="2">
        <v>-0.2</v>
      </c>
      <c r="N106" s="97" t="s">
        <v>678</v>
      </c>
      <c r="S106" s="428"/>
      <c r="T106" s="428"/>
    </row>
    <row r="107" spans="1:23" x14ac:dyDescent="0.2">
      <c r="B107" s="97" t="s">
        <v>471</v>
      </c>
      <c r="D107" s="97">
        <v>7500</v>
      </c>
      <c r="E107" s="97" t="s">
        <v>523</v>
      </c>
      <c r="M107"/>
      <c r="T107" s="91"/>
    </row>
    <row r="108" spans="1:23" x14ac:dyDescent="0.2">
      <c r="B108" s="97" t="s">
        <v>543</v>
      </c>
      <c r="D108" s="97">
        <v>5000</v>
      </c>
      <c r="E108" s="97" t="s">
        <v>523</v>
      </c>
      <c r="L108" s="97" t="s">
        <v>612</v>
      </c>
      <c r="M108" s="528">
        <v>2.5000000000000001E-2</v>
      </c>
      <c r="N108" s="97" t="s">
        <v>1108</v>
      </c>
      <c r="O108" s="97" t="s">
        <v>680</v>
      </c>
      <c r="S108" s="428"/>
      <c r="T108" s="428"/>
      <c r="U108" s="403"/>
      <c r="W108" s="403"/>
    </row>
    <row r="109" spans="1:23" x14ac:dyDescent="0.2">
      <c r="B109" s="97" t="s">
        <v>223</v>
      </c>
      <c r="D109" s="97">
        <v>5000</v>
      </c>
      <c r="E109" s="97" t="s">
        <v>523</v>
      </c>
      <c r="L109" s="97" t="s">
        <v>613</v>
      </c>
      <c r="M109" s="2">
        <v>-0.2</v>
      </c>
      <c r="N109" s="97" t="s">
        <v>697</v>
      </c>
      <c r="O109" s="403">
        <v>-0.1</v>
      </c>
      <c r="P109" s="97" t="s">
        <v>679</v>
      </c>
      <c r="S109" s="428"/>
      <c r="T109" s="428"/>
    </row>
    <row r="110" spans="1:23" x14ac:dyDescent="0.2">
      <c r="L110" s="97" t="s">
        <v>614</v>
      </c>
      <c r="M110" s="528">
        <v>-1.7500000000000002E-2</v>
      </c>
      <c r="N110" s="97" t="s">
        <v>659</v>
      </c>
      <c r="S110" s="428"/>
      <c r="T110" s="428"/>
      <c r="U110" s="403"/>
    </row>
    <row r="111" spans="1:23" x14ac:dyDescent="0.2">
      <c r="A111" s="400" t="s">
        <v>474</v>
      </c>
      <c r="F111" s="97" t="s">
        <v>476</v>
      </c>
      <c r="L111" s="97" t="s">
        <v>615</v>
      </c>
      <c r="M111" s="528">
        <v>2.5000000000000001E-2</v>
      </c>
      <c r="N111" s="97" t="s">
        <v>689</v>
      </c>
      <c r="O111" s="424">
        <v>7.4999999999999997E-2</v>
      </c>
      <c r="P111" s="97" t="s">
        <v>681</v>
      </c>
      <c r="S111" s="426"/>
      <c r="T111" s="428"/>
      <c r="U111" s="424"/>
      <c r="W111" s="424"/>
    </row>
    <row r="112" spans="1:23" x14ac:dyDescent="0.2">
      <c r="A112" s="401" t="s">
        <v>127</v>
      </c>
      <c r="B112" s="431"/>
      <c r="C112" s="432">
        <v>0.2</v>
      </c>
      <c r="D112" s="97" t="s">
        <v>481</v>
      </c>
      <c r="F112" s="271" t="s">
        <v>480</v>
      </c>
      <c r="L112" s="97" t="s">
        <v>616</v>
      </c>
      <c r="M112" s="528">
        <v>-1.7500000000000002E-2</v>
      </c>
      <c r="N112" s="97" t="s">
        <v>659</v>
      </c>
      <c r="S112" s="428"/>
      <c r="T112" s="428"/>
      <c r="U112" s="403"/>
    </row>
    <row r="113" spans="1:23" x14ac:dyDescent="0.2">
      <c r="A113" s="401" t="s">
        <v>128</v>
      </c>
      <c r="B113" s="433" t="s">
        <v>305</v>
      </c>
      <c r="C113" s="432">
        <v>0.2</v>
      </c>
      <c r="D113" s="97" t="s">
        <v>481</v>
      </c>
      <c r="F113" s="271" t="s">
        <v>480</v>
      </c>
      <c r="L113" s="97" t="s">
        <v>617</v>
      </c>
      <c r="M113">
        <v>1</v>
      </c>
      <c r="N113" s="97" t="s">
        <v>695</v>
      </c>
      <c r="S113" s="428"/>
      <c r="T113" s="428"/>
      <c r="U113" s="403"/>
      <c r="W113" s="403"/>
    </row>
    <row r="114" spans="1:23" x14ac:dyDescent="0.2">
      <c r="B114" s="97" t="s">
        <v>304</v>
      </c>
      <c r="C114" s="425">
        <v>0.2</v>
      </c>
      <c r="D114" s="97" t="s">
        <v>481</v>
      </c>
      <c r="F114" s="271" t="s">
        <v>480</v>
      </c>
      <c r="L114" s="97" t="s">
        <v>618</v>
      </c>
      <c r="M114" s="2">
        <v>-0.01</v>
      </c>
      <c r="N114" s="97" t="s">
        <v>683</v>
      </c>
      <c r="S114" s="426"/>
      <c r="T114" s="428"/>
      <c r="U114" s="403"/>
    </row>
    <row r="115" spans="1:23" x14ac:dyDescent="0.2">
      <c r="A115" s="401" t="s">
        <v>143</v>
      </c>
      <c r="B115" s="431"/>
      <c r="C115" s="432">
        <v>0.2</v>
      </c>
      <c r="D115" s="97" t="s">
        <v>481</v>
      </c>
      <c r="F115" s="271">
        <v>4</v>
      </c>
      <c r="M115"/>
      <c r="S115" s="426"/>
      <c r="T115" s="428"/>
    </row>
    <row r="116" spans="1:23" x14ac:dyDescent="0.2">
      <c r="A116" s="401" t="s">
        <v>135</v>
      </c>
      <c r="B116" s="431"/>
      <c r="C116" s="432">
        <v>0.2</v>
      </c>
      <c r="D116" s="97" t="s">
        <v>482</v>
      </c>
      <c r="F116" s="271">
        <v>2</v>
      </c>
      <c r="L116" s="97" t="s">
        <v>619</v>
      </c>
      <c r="M116" s="528">
        <v>1.4999999999999999E-2</v>
      </c>
      <c r="N116" s="97" t="s">
        <v>670</v>
      </c>
      <c r="S116" s="426"/>
      <c r="T116" s="428"/>
      <c r="U116" s="424"/>
    </row>
    <row r="117" spans="1:23" x14ac:dyDescent="0.2">
      <c r="A117" s="401" t="s">
        <v>151</v>
      </c>
      <c r="B117" s="433" t="s">
        <v>305</v>
      </c>
      <c r="C117" s="432">
        <v>0.1</v>
      </c>
      <c r="D117" s="97" t="s">
        <v>308</v>
      </c>
      <c r="F117" s="271">
        <v>4</v>
      </c>
      <c r="L117" s="97" t="s">
        <v>620</v>
      </c>
      <c r="M117" s="528">
        <v>2.5000000000000001E-2</v>
      </c>
      <c r="N117" s="97" t="s">
        <v>671</v>
      </c>
      <c r="O117" s="403">
        <v>-0.05</v>
      </c>
      <c r="P117" s="97" t="s">
        <v>684</v>
      </c>
      <c r="S117" s="426"/>
      <c r="T117" s="428"/>
      <c r="U117" s="424"/>
      <c r="W117" s="403"/>
    </row>
    <row r="118" spans="1:23" x14ac:dyDescent="0.2">
      <c r="B118" s="97" t="s">
        <v>304</v>
      </c>
      <c r="C118" s="434">
        <v>0.1</v>
      </c>
      <c r="D118" s="97" t="s">
        <v>308</v>
      </c>
      <c r="F118" s="271">
        <v>4</v>
      </c>
      <c r="L118" s="97" t="s">
        <v>622</v>
      </c>
      <c r="M118" s="2">
        <v>-0.05</v>
      </c>
      <c r="N118" s="97" t="s">
        <v>666</v>
      </c>
      <c r="O118" s="403">
        <v>-0.05</v>
      </c>
      <c r="P118" s="97" t="s">
        <v>679</v>
      </c>
      <c r="Q118" s="97">
        <v>5</v>
      </c>
      <c r="R118" s="97" t="s">
        <v>700</v>
      </c>
      <c r="S118" s="428"/>
      <c r="T118" s="428"/>
      <c r="U118" s="403"/>
      <c r="W118" s="403"/>
    </row>
    <row r="119" spans="1:23" x14ac:dyDescent="0.2">
      <c r="A119" s="401" t="s">
        <v>475</v>
      </c>
      <c r="B119" s="431"/>
      <c r="C119" s="432">
        <v>0.2</v>
      </c>
      <c r="D119" s="97" t="s">
        <v>482</v>
      </c>
      <c r="F119" s="271">
        <v>3</v>
      </c>
      <c r="L119" s="97" t="s">
        <v>623</v>
      </c>
      <c r="M119" s="528">
        <v>-0.125</v>
      </c>
      <c r="N119" s="97" t="s">
        <v>685</v>
      </c>
      <c r="S119" s="426"/>
      <c r="T119" s="428"/>
      <c r="U119" s="424"/>
    </row>
    <row r="120" spans="1:23" x14ac:dyDescent="0.2">
      <c r="A120" s="401" t="s">
        <v>345</v>
      </c>
      <c r="C120" s="271">
        <v>1</v>
      </c>
      <c r="D120" s="97" t="s">
        <v>477</v>
      </c>
      <c r="F120" s="271">
        <v>3</v>
      </c>
      <c r="L120" s="97" t="s">
        <v>625</v>
      </c>
      <c r="M120" s="2">
        <v>0.01</v>
      </c>
      <c r="N120" s="97" t="s">
        <v>670</v>
      </c>
      <c r="O120" s="403">
        <v>0.1</v>
      </c>
      <c r="P120" s="97" t="s">
        <v>682</v>
      </c>
      <c r="S120" s="428"/>
      <c r="T120" s="428"/>
      <c r="U120" s="403"/>
    </row>
    <row r="121" spans="1:23" x14ac:dyDescent="0.2">
      <c r="A121" s="401" t="s">
        <v>387</v>
      </c>
      <c r="B121" s="271" t="s">
        <v>479</v>
      </c>
      <c r="C121" s="433">
        <v>500</v>
      </c>
      <c r="D121" s="97" t="s">
        <v>478</v>
      </c>
      <c r="F121" s="271">
        <v>0</v>
      </c>
      <c r="L121" s="97" t="s">
        <v>626</v>
      </c>
      <c r="M121" s="529">
        <v>7.4999999999999997E-2</v>
      </c>
      <c r="N121" s="97" t="s">
        <v>698</v>
      </c>
      <c r="O121" s="403">
        <v>-0.05</v>
      </c>
      <c r="P121" s="97" t="s">
        <v>686</v>
      </c>
      <c r="S121" s="428"/>
      <c r="T121" s="428"/>
      <c r="U121" s="403"/>
      <c r="W121" s="403"/>
    </row>
    <row r="122" spans="1:23" x14ac:dyDescent="0.2">
      <c r="A122" s="401" t="s">
        <v>369</v>
      </c>
      <c r="B122" s="271" t="s">
        <v>479</v>
      </c>
      <c r="C122" s="435">
        <v>375</v>
      </c>
      <c r="D122" s="97" t="s">
        <v>478</v>
      </c>
      <c r="F122" s="271">
        <v>3</v>
      </c>
      <c r="M122"/>
      <c r="S122" s="426"/>
      <c r="T122" s="428"/>
    </row>
    <row r="123" spans="1:23" x14ac:dyDescent="0.2">
      <c r="A123" s="401" t="s">
        <v>436</v>
      </c>
      <c r="B123" s="431"/>
      <c r="C123" s="425">
        <v>0.12</v>
      </c>
      <c r="D123" s="97" t="s">
        <v>514</v>
      </c>
      <c r="F123" s="271">
        <v>3</v>
      </c>
      <c r="L123" s="97" t="s">
        <v>627</v>
      </c>
      <c r="M123" s="2">
        <v>0.3</v>
      </c>
      <c r="N123" s="97" t="s">
        <v>687</v>
      </c>
      <c r="S123" s="426"/>
      <c r="T123" s="428"/>
      <c r="U123" s="403"/>
    </row>
    <row r="124" spans="1:23" x14ac:dyDescent="0.2">
      <c r="L124" s="97" t="s">
        <v>629</v>
      </c>
      <c r="M124">
        <v>1.25</v>
      </c>
      <c r="N124" s="97" t="s">
        <v>702</v>
      </c>
      <c r="S124" s="428"/>
      <c r="T124" s="428"/>
      <c r="U124" s="403"/>
    </row>
    <row r="125" spans="1:23" x14ac:dyDescent="0.2">
      <c r="A125" s="400" t="s">
        <v>276</v>
      </c>
      <c r="L125" s="97" t="s">
        <v>631</v>
      </c>
      <c r="M125" s="528">
        <v>-7.4999999999999997E-2</v>
      </c>
      <c r="N125" s="97" t="s">
        <v>686</v>
      </c>
      <c r="O125" s="424">
        <v>7.4999999999999997E-3</v>
      </c>
      <c r="P125" s="97" t="s">
        <v>783</v>
      </c>
      <c r="S125" s="428"/>
      <c r="T125" s="428"/>
      <c r="U125" s="403"/>
    </row>
    <row r="126" spans="1:23" x14ac:dyDescent="0.2">
      <c r="A126" s="401" t="s">
        <v>493</v>
      </c>
      <c r="B126" s="97">
        <v>20</v>
      </c>
      <c r="L126" s="97" t="s">
        <v>632</v>
      </c>
      <c r="M126" s="528">
        <v>2.5000000000000001E-2</v>
      </c>
      <c r="N126" s="97" t="s">
        <v>689</v>
      </c>
      <c r="S126" s="426"/>
      <c r="T126" s="428"/>
      <c r="U126" s="424"/>
    </row>
    <row r="127" spans="1:23" x14ac:dyDescent="0.2">
      <c r="A127" s="401" t="s">
        <v>491</v>
      </c>
      <c r="B127" s="97">
        <v>0</v>
      </c>
      <c r="C127" s="97" t="s">
        <v>492</v>
      </c>
      <c r="L127" s="97" t="s">
        <v>633</v>
      </c>
      <c r="M127" s="528">
        <v>-2.5000000000000001E-2</v>
      </c>
      <c r="N127" s="97" t="s">
        <v>662</v>
      </c>
      <c r="O127" s="6">
        <v>2</v>
      </c>
      <c r="P127" s="6" t="s">
        <v>701</v>
      </c>
      <c r="S127" s="426"/>
      <c r="T127" s="428"/>
      <c r="U127" s="424"/>
    </row>
    <row r="128" spans="1:23" x14ac:dyDescent="0.2">
      <c r="M128"/>
      <c r="S128" s="426"/>
      <c r="T128" s="428"/>
    </row>
    <row r="129" spans="1:23" x14ac:dyDescent="0.2">
      <c r="A129" s="400" t="s">
        <v>785</v>
      </c>
      <c r="L129" s="97" t="s">
        <v>635</v>
      </c>
      <c r="M129" s="2">
        <v>0.6</v>
      </c>
      <c r="N129" s="97" t="s">
        <v>784</v>
      </c>
      <c r="S129" s="428"/>
      <c r="T129" s="428"/>
    </row>
    <row r="130" spans="1:23" x14ac:dyDescent="0.2">
      <c r="A130" s="401" t="s">
        <v>89</v>
      </c>
      <c r="B130" s="97" t="s">
        <v>3</v>
      </c>
      <c r="L130" s="97" t="s">
        <v>636</v>
      </c>
      <c r="M130" s="528">
        <v>-7.4999999999999997E-2</v>
      </c>
      <c r="N130" s="97" t="s">
        <v>686</v>
      </c>
      <c r="S130" s="426"/>
      <c r="T130" s="428"/>
      <c r="U130" s="424"/>
    </row>
    <row r="131" spans="1:23" x14ac:dyDescent="0.2">
      <c r="A131" s="401" t="s">
        <v>90</v>
      </c>
      <c r="B131" s="97" t="s">
        <v>3</v>
      </c>
      <c r="L131" s="97" t="s">
        <v>638</v>
      </c>
      <c r="M131">
        <v>1</v>
      </c>
      <c r="N131" s="97" t="s">
        <v>703</v>
      </c>
      <c r="S131" s="426"/>
      <c r="T131" s="428"/>
    </row>
    <row r="132" spans="1:23" x14ac:dyDescent="0.2">
      <c r="A132" s="401" t="s">
        <v>91</v>
      </c>
      <c r="B132" s="97" t="s">
        <v>3</v>
      </c>
      <c r="L132" s="97" t="s">
        <v>640</v>
      </c>
      <c r="M132" s="2">
        <v>0.3</v>
      </c>
      <c r="N132" s="97" t="s">
        <v>690</v>
      </c>
      <c r="S132" s="428"/>
      <c r="T132" s="428"/>
      <c r="U132" s="403"/>
    </row>
    <row r="133" spans="1:23" x14ac:dyDescent="0.2">
      <c r="A133" s="401" t="s">
        <v>92</v>
      </c>
      <c r="B133" s="97" t="s">
        <v>3</v>
      </c>
      <c r="M133"/>
      <c r="S133" s="426"/>
      <c r="T133" s="428"/>
    </row>
    <row r="134" spans="1:23" x14ac:dyDescent="0.2">
      <c r="A134" s="401" t="s">
        <v>93</v>
      </c>
      <c r="B134" s="97" t="s">
        <v>3</v>
      </c>
      <c r="L134" s="97" t="s">
        <v>641</v>
      </c>
      <c r="M134" s="2">
        <v>-0.15</v>
      </c>
      <c r="N134" s="97" t="s">
        <v>699</v>
      </c>
      <c r="O134" s="403">
        <v>-0.05</v>
      </c>
      <c r="P134" s="97" t="s">
        <v>676</v>
      </c>
      <c r="S134" s="426"/>
      <c r="T134" s="428"/>
      <c r="U134" s="403"/>
      <c r="W134" s="403"/>
    </row>
    <row r="135" spans="1:23" x14ac:dyDescent="0.2">
      <c r="A135" s="401" t="s">
        <v>94</v>
      </c>
      <c r="B135" s="97" t="s">
        <v>3</v>
      </c>
      <c r="L135" s="97" t="s">
        <v>643</v>
      </c>
      <c r="M135" s="528">
        <v>-2.5000000000000001E-2</v>
      </c>
      <c r="N135" s="97" t="s">
        <v>666</v>
      </c>
      <c r="S135" s="426"/>
      <c r="T135" s="428"/>
      <c r="U135" s="424"/>
    </row>
    <row r="136" spans="1:23" x14ac:dyDescent="0.2">
      <c r="A136" s="401" t="s">
        <v>95</v>
      </c>
      <c r="B136" s="97" t="s">
        <v>3</v>
      </c>
      <c r="L136" s="97" t="s">
        <v>644</v>
      </c>
      <c r="M136" s="2">
        <v>-0.25</v>
      </c>
      <c r="N136" s="97" t="s">
        <v>691</v>
      </c>
      <c r="S136" s="426"/>
      <c r="T136" s="428"/>
      <c r="U136" s="403"/>
    </row>
    <row r="137" spans="1:23" x14ac:dyDescent="0.2">
      <c r="A137" s="401" t="s">
        <v>96</v>
      </c>
      <c r="B137" s="97" t="s">
        <v>7</v>
      </c>
      <c r="M137"/>
      <c r="S137" s="426"/>
      <c r="T137" s="428"/>
    </row>
    <row r="138" spans="1:23" x14ac:dyDescent="0.2">
      <c r="A138" s="401" t="s">
        <v>97</v>
      </c>
      <c r="B138" s="97" t="s">
        <v>3</v>
      </c>
      <c r="L138" s="97" t="s">
        <v>645</v>
      </c>
      <c r="M138" s="2">
        <v>0.05</v>
      </c>
      <c r="N138" s="97" t="s">
        <v>688</v>
      </c>
      <c r="S138" s="428"/>
      <c r="T138" s="428"/>
      <c r="U138" s="424"/>
    </row>
    <row r="139" spans="1:23" x14ac:dyDescent="0.2">
      <c r="A139" s="401" t="s">
        <v>29</v>
      </c>
      <c r="B139" s="97" t="s">
        <v>3</v>
      </c>
      <c r="L139" s="97" t="s">
        <v>647</v>
      </c>
      <c r="M139" s="528">
        <v>-7.4999999999999997E-2</v>
      </c>
      <c r="N139" s="97" t="s">
        <v>685</v>
      </c>
      <c r="S139" s="428"/>
      <c r="T139" s="428"/>
      <c r="U139" s="403"/>
    </row>
    <row r="140" spans="1:23" x14ac:dyDescent="0.2">
      <c r="A140" s="401" t="s">
        <v>99</v>
      </c>
      <c r="B140" s="97" t="s">
        <v>3</v>
      </c>
      <c r="M140"/>
      <c r="T140" s="91"/>
    </row>
    <row r="141" spans="1:23" x14ac:dyDescent="0.2">
      <c r="A141" s="401" t="s">
        <v>100</v>
      </c>
      <c r="B141" s="97" t="s">
        <v>3</v>
      </c>
      <c r="L141" s="97" t="s">
        <v>648</v>
      </c>
      <c r="M141" s="2">
        <v>-0.05</v>
      </c>
      <c r="N141" s="97" t="s">
        <v>686</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341</v>
      </c>
      <c r="B146" s="97" t="s">
        <v>3</v>
      </c>
      <c r="L146" s="426"/>
      <c r="M146" s="403"/>
    </row>
    <row r="147" spans="1:13" x14ac:dyDescent="0.2">
      <c r="A147" s="401" t="s">
        <v>355</v>
      </c>
      <c r="B147" s="97" t="s">
        <v>3</v>
      </c>
      <c r="L147" s="426"/>
    </row>
    <row r="148" spans="1:13" x14ac:dyDescent="0.2">
      <c r="A148" s="401" t="s">
        <v>147</v>
      </c>
      <c r="B148" s="97" t="s">
        <v>3</v>
      </c>
      <c r="L148" s="426"/>
      <c r="M148" s="403"/>
    </row>
    <row r="149" spans="1:13" x14ac:dyDescent="0.2">
      <c r="A149" s="401" t="s">
        <v>515</v>
      </c>
      <c r="B149" s="97" t="s">
        <v>12</v>
      </c>
    </row>
    <row r="151" spans="1:13" x14ac:dyDescent="0.2">
      <c r="A151" s="401" t="s">
        <v>1088</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1089</v>
      </c>
    </row>
    <row r="158" spans="1:13" x14ac:dyDescent="0.2">
      <c r="A158" s="401" t="s">
        <v>290</v>
      </c>
      <c r="B158" s="403">
        <v>0.75</v>
      </c>
    </row>
  </sheetData>
  <phoneticPr fontId="0" type="noConversion"/>
  <conditionalFormatting sqref="J24:L24">
    <cfRule type="expression" dxfId="34"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294</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790</v>
      </c>
      <c r="D4" s="436" t="s">
        <v>791</v>
      </c>
      <c r="E4" s="437" t="s">
        <v>792</v>
      </c>
      <c r="F4" s="437" t="s">
        <v>793</v>
      </c>
      <c r="G4" s="437" t="s">
        <v>794</v>
      </c>
      <c r="H4" s="442" t="s">
        <v>795</v>
      </c>
      <c r="I4" s="442" t="s">
        <v>242</v>
      </c>
      <c r="J4" s="531" t="s">
        <v>175</v>
      </c>
      <c r="K4" s="531" t="s">
        <v>105</v>
      </c>
      <c r="L4" s="531" t="s">
        <v>172</v>
      </c>
      <c r="M4" s="531" t="s">
        <v>107</v>
      </c>
      <c r="N4" s="531" t="s">
        <v>108</v>
      </c>
      <c r="O4" s="531" t="s">
        <v>109</v>
      </c>
      <c r="P4" s="531" t="s">
        <v>110</v>
      </c>
      <c r="Q4" s="531" t="s">
        <v>111</v>
      </c>
      <c r="R4" s="531" t="s">
        <v>112</v>
      </c>
      <c r="S4" s="531" t="s">
        <v>32</v>
      </c>
      <c r="T4" s="531" t="s">
        <v>31</v>
      </c>
      <c r="U4" s="532" t="s">
        <v>173</v>
      </c>
      <c r="V4" s="531" t="s">
        <v>174</v>
      </c>
      <c r="W4" s="531" t="s">
        <v>451</v>
      </c>
      <c r="X4" s="531" t="s">
        <v>503</v>
      </c>
      <c r="Y4" s="531" t="s">
        <v>504</v>
      </c>
      <c r="Z4" s="531" t="s">
        <v>541</v>
      </c>
      <c r="AA4" s="531" t="s">
        <v>1113</v>
      </c>
    </row>
    <row r="5" spans="1:27" s="449" customFormat="1" ht="19.5" customHeight="1" x14ac:dyDescent="0.2">
      <c r="A5" s="439" t="s">
        <v>89</v>
      </c>
      <c r="B5" s="443" t="s">
        <v>98</v>
      </c>
      <c r="C5" s="439" t="s">
        <v>255</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255</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255</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255</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255</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255</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255</v>
      </c>
      <c r="D11" s="444" t="s">
        <v>119</v>
      </c>
      <c r="E11" s="440">
        <v>2</v>
      </c>
      <c r="F11" s="440">
        <v>6</v>
      </c>
      <c r="G11" s="440">
        <v>1025</v>
      </c>
      <c r="H11" s="439">
        <v>75</v>
      </c>
      <c r="I11" s="443">
        <f>1.8 * MIN(6, MAX(E11,F11)) + 0.45 * MIN(6, MIN(E11,F11)) + IF(E11&gt;6, (E11-6)*0.2) + IF(F11&gt;6, (F11-6)*0.2)</f>
        <v>11.700000000000001</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255</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257</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257</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257</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257</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256</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256</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256</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256</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257</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257</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257</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257</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256</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256</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256</v>
      </c>
      <c r="D39" s="444" t="s">
        <v>367</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256</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255</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255</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255</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255</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254</v>
      </c>
      <c r="D45" s="458" t="s">
        <v>149</v>
      </c>
      <c r="E45" s="459">
        <v>4</v>
      </c>
      <c r="F45" s="459"/>
      <c r="G45" s="459">
        <v>325</v>
      </c>
      <c r="H45" s="449">
        <v>25</v>
      </c>
      <c r="I45" s="457">
        <v>5</v>
      </c>
      <c r="J45" s="460"/>
      <c r="K45" s="461"/>
      <c r="L45" s="461"/>
      <c r="M45" s="461"/>
      <c r="N45" s="461"/>
      <c r="O45" s="461">
        <v>0.05</v>
      </c>
      <c r="P45" s="461"/>
      <c r="Q45" s="461">
        <v>0.05</v>
      </c>
      <c r="R45" s="461"/>
      <c r="S45" s="461"/>
      <c r="T45" s="461"/>
      <c r="U45" s="461"/>
      <c r="V45" s="461">
        <v>0.1</v>
      </c>
      <c r="W45" s="440"/>
      <c r="X45" s="447"/>
      <c r="Y45" s="459"/>
      <c r="Z45" s="459"/>
      <c r="AA45" s="448"/>
    </row>
    <row r="46" spans="1:27" s="439" customFormat="1" ht="19.5" customHeight="1" x14ac:dyDescent="0.2">
      <c r="A46" s="439" t="s">
        <v>99</v>
      </c>
      <c r="B46" s="443" t="s">
        <v>30</v>
      </c>
      <c r="C46" s="439" t="s">
        <v>254</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254</v>
      </c>
      <c r="D47" s="444" t="s">
        <v>151</v>
      </c>
      <c r="E47" s="440">
        <v>2</v>
      </c>
      <c r="F47" s="440">
        <v>4</v>
      </c>
      <c r="G47" s="440">
        <v>1150</v>
      </c>
      <c r="H47" s="439">
        <v>55</v>
      </c>
      <c r="I47" s="443">
        <f>1.8 * MIN(6, MAX(E47,F47)) + 0.45 * MIN(6, MIN(E47,F47)) + IF(E47&gt;6, (E47-6)*0.2) + IF(F47&gt;6, (F47-6)*0.2)</f>
        <v>8.1</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254</v>
      </c>
      <c r="D48" s="450" t="s">
        <v>152</v>
      </c>
      <c r="E48" s="451">
        <v>6</v>
      </c>
      <c r="F48" s="451">
        <v>0</v>
      </c>
      <c r="G48" s="451">
        <v>1050</v>
      </c>
      <c r="H48" s="452">
        <v>55</v>
      </c>
      <c r="I48" s="443">
        <f>1.8 * MIN(6, MAX(E48,F48)) + 0.45 * MIN(6, MIN(E48,F48)) + IF(E48&gt;6, (E48-6)*0.2) + IF(F48&gt;6, (F48-6)*0.2)</f>
        <v>10.8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0.125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880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386</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2.5</v>
      </c>
      <c r="F53" s="459"/>
      <c r="G53" s="459">
        <v>225</v>
      </c>
      <c r="H53" s="449">
        <v>0</v>
      </c>
      <c r="I53" s="457">
        <v>5</v>
      </c>
      <c r="J53" s="460">
        <v>0.125</v>
      </c>
      <c r="K53" s="461"/>
      <c r="L53" s="461"/>
      <c r="M53" s="461"/>
      <c r="N53" s="461"/>
      <c r="O53" s="461"/>
      <c r="P53" s="461"/>
      <c r="Q53" s="461"/>
      <c r="R53" s="461">
        <v>-0.8</v>
      </c>
      <c r="S53" s="461"/>
      <c r="T53" s="461"/>
      <c r="U53" s="461"/>
      <c r="V53" s="461"/>
      <c r="W53" s="440"/>
      <c r="X53" s="447"/>
      <c r="Y53" s="459"/>
      <c r="Z53" s="459"/>
      <c r="AA53" s="448"/>
    </row>
    <row r="54" spans="1:27" s="439" customFormat="1" ht="19.5" customHeight="1" x14ac:dyDescent="0.2">
      <c r="A54" s="439" t="s">
        <v>101</v>
      </c>
      <c r="B54" s="443" t="s">
        <v>98</v>
      </c>
      <c r="C54" s="439" t="s">
        <v>60</v>
      </c>
      <c r="D54" s="444" t="s">
        <v>157</v>
      </c>
      <c r="E54" s="440"/>
      <c r="F54" s="440">
        <v>2.5</v>
      </c>
      <c r="G54" s="440">
        <v>225</v>
      </c>
      <c r="H54" s="439">
        <v>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158</v>
      </c>
      <c r="E55" s="440">
        <v>2</v>
      </c>
      <c r="F55" s="440">
        <v>4</v>
      </c>
      <c r="G55" s="440">
        <v>880</v>
      </c>
      <c r="H55" s="439">
        <v>0</v>
      </c>
      <c r="I55" s="443">
        <f>1.8 * MIN(6, MAX(E55,F55)) + 0.45 * MIN(6, MIN(E55,F55)) + IF(E55&gt;6, (E55-6)*0.2) + IF(F55&gt;6, (F55-6)*0.2)</f>
        <v>8.1</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159</v>
      </c>
      <c r="E56" s="451">
        <v>4</v>
      </c>
      <c r="F56" s="451">
        <v>3</v>
      </c>
      <c r="G56" s="451">
        <v>1000</v>
      </c>
      <c r="H56" s="452">
        <v>0</v>
      </c>
      <c r="I56" s="443">
        <f>1.8 * MIN(6, MAX(E56,F56)) + 0.45 * MIN(6, MIN(E56,F56)) + IF(E56&gt;6, (E56-6)*0.2) + IF(F56&gt;6, (F56-6)*0.2)</f>
        <v>8.5500000000000007</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160</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161</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162</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163</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256</v>
      </c>
      <c r="D61" s="458" t="s">
        <v>164</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256</v>
      </c>
      <c r="D62" s="444" t="s">
        <v>165</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256</v>
      </c>
      <c r="D63" s="444" t="s">
        <v>166</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256</v>
      </c>
      <c r="D64" s="450" t="s">
        <v>167</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168</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169</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170</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171</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341</v>
      </c>
      <c r="B69" s="457" t="s">
        <v>30</v>
      </c>
      <c r="C69" s="449" t="s">
        <v>257</v>
      </c>
      <c r="D69" s="458" t="s">
        <v>342</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341</v>
      </c>
      <c r="B70" s="443" t="s">
        <v>30</v>
      </c>
      <c r="C70" s="439" t="s">
        <v>257</v>
      </c>
      <c r="D70" s="444" t="s">
        <v>343</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341</v>
      </c>
      <c r="B71" s="443" t="s">
        <v>30</v>
      </c>
      <c r="C71" s="439" t="s">
        <v>257</v>
      </c>
      <c r="D71" s="444" t="s">
        <v>344</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341</v>
      </c>
      <c r="B72" s="462" t="s">
        <v>30</v>
      </c>
      <c r="C72" s="452" t="s">
        <v>257</v>
      </c>
      <c r="D72" s="450" t="s">
        <v>345</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355</v>
      </c>
      <c r="B73" s="457" t="s">
        <v>98</v>
      </c>
      <c r="C73" s="449" t="s">
        <v>254</v>
      </c>
      <c r="D73" s="458" t="s">
        <v>349</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355</v>
      </c>
      <c r="B74" s="443" t="s">
        <v>98</v>
      </c>
      <c r="C74" s="439" t="s">
        <v>254</v>
      </c>
      <c r="D74" s="444" t="s">
        <v>350</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355</v>
      </c>
      <c r="B75" s="443" t="s">
        <v>98</v>
      </c>
      <c r="C75" s="439" t="s">
        <v>254</v>
      </c>
      <c r="D75" s="444" t="s">
        <v>351</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355</v>
      </c>
      <c r="B76" s="462" t="s">
        <v>98</v>
      </c>
      <c r="C76" s="452" t="s">
        <v>254</v>
      </c>
      <c r="D76" s="450" t="s">
        <v>352</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368</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337</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387</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369</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515</v>
      </c>
      <c r="B81" s="457" t="s">
        <v>30</v>
      </c>
      <c r="C81" s="463" t="s">
        <v>60</v>
      </c>
      <c r="D81" s="449" t="s">
        <v>434</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515</v>
      </c>
      <c r="B82" s="443" t="s">
        <v>30</v>
      </c>
      <c r="C82" s="464" t="s">
        <v>60</v>
      </c>
      <c r="D82" s="439" t="s">
        <v>435</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515</v>
      </c>
      <c r="B83" s="443" t="s">
        <v>30</v>
      </c>
      <c r="C83" s="464" t="s">
        <v>60</v>
      </c>
      <c r="D83" s="439" t="s">
        <v>436</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515</v>
      </c>
      <c r="B84" s="443" t="s">
        <v>30</v>
      </c>
      <c r="C84" s="464" t="s">
        <v>60</v>
      </c>
      <c r="D84" s="439" t="s">
        <v>437</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796</v>
      </c>
      <c r="B85" s="443" t="s">
        <v>796</v>
      </c>
      <c r="C85" s="464" t="s">
        <v>796</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796</v>
      </c>
      <c r="B86" s="443" t="s">
        <v>796</v>
      </c>
      <c r="C86" s="464" t="s">
        <v>796</v>
      </c>
      <c r="D86" s="76" t="s">
        <v>193</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796</v>
      </c>
      <c r="B87" s="443" t="s">
        <v>796</v>
      </c>
      <c r="C87" s="464" t="s">
        <v>796</v>
      </c>
      <c r="D87" s="76" t="s">
        <v>194</v>
      </c>
      <c r="G87" s="440">
        <v>1000</v>
      </c>
      <c r="H87" s="440" t="s">
        <v>260</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372</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341</v>
      </c>
      <c r="B105" s="360">
        <v>69</v>
      </c>
      <c r="J105" s="472"/>
      <c r="K105" s="472"/>
      <c r="L105" s="472"/>
      <c r="M105" s="472"/>
      <c r="N105" s="472"/>
      <c r="O105" s="472"/>
      <c r="P105" s="472"/>
      <c r="Q105" s="472"/>
      <c r="R105" s="472"/>
      <c r="S105" s="472"/>
      <c r="T105" s="472"/>
      <c r="U105" s="472"/>
      <c r="V105" s="472"/>
    </row>
    <row r="106" spans="1:22" ht="19.5" customHeight="1" x14ac:dyDescent="0.2">
      <c r="A106" s="467" t="s">
        <v>355</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515</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452</v>
      </c>
      <c r="I18" s="601"/>
      <c r="J18" s="601"/>
      <c r="K18" s="602"/>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2021-09-02T18:23:03Z</dcterms:modified>
</cp:coreProperties>
</file>